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X:\Website\Downloads\"/>
    </mc:Choice>
  </mc:AlternateContent>
  <xr:revisionPtr revIDLastSave="0" documentId="13_ncr:1_{73DB42F2-DB31-4880-821E-D160531A6389}" xr6:coauthVersionLast="47" xr6:coauthVersionMax="47" xr10:uidLastSave="{00000000-0000-0000-0000-000000000000}"/>
  <workbookProtection workbookAlgorithmName="SHA-512" workbookHashValue="jHyP+ebZo6SV4thToKx5TgFmVR/yoRnXHHYt2ierOa38KaZU7xPwJ/HadJ8DH7TnCg7bBZb8aG7NsXpd20PZiw==" workbookSaltValue="Silw7KE9g8pf6+pcf46fpg==" workbookSpinCount="100000" lockStructure="1"/>
  <bookViews>
    <workbookView xWindow="9165" yWindow="-16320" windowWidth="29040" windowHeight="15840" xr2:uid="{00000000-000D-0000-FFFF-FFFF00000000}"/>
  </bookViews>
  <sheets>
    <sheet name="Calculator" sheetId="1" r:id="rId1"/>
    <sheet name="Tower Leasing Proposal" sheetId="2" r:id="rId2"/>
  </sheets>
  <externalReferences>
    <externalReference r:id="rId3"/>
  </externalReferences>
  <definedNames>
    <definedName name="_xlnm.Print_Area" localSheetId="1">'Tower Leasing Proposal'!$A$1:$O$69,'Tower Leasing Proposal'!$A$73:$O$138</definedName>
    <definedName name="Z_8A0A97B9_6FFA_4611_B3E0_716648B31258_.wvu.Cols" localSheetId="0" hidden="1">Calculator!$E:$E</definedName>
    <definedName name="Z_8A0A97B9_6FFA_4611_B3E0_716648B31258_.wvu.Cols" localSheetId="1" hidden="1">'Tower Leasing Proposal'!$P:$Y</definedName>
    <definedName name="Z_8A0A97B9_6FFA_4611_B3E0_716648B31258_.wvu.PrintArea" localSheetId="1" hidden="1">'Tower Leasing Proposal'!$A$1:$O$69,'Tower Leasing Proposal'!$A$73:$O$138</definedName>
    <definedName name="Z_8A0A97B9_6FFA_4611_B3E0_716648B31258_.wvu.Rows" localSheetId="1" hidden="1">'Tower Leasing Proposal'!$147:$1048576,'Tower Leasing Proposal'!$139:$146</definedName>
  </definedNames>
  <calcPr calcId="191029"/>
  <customWorkbookViews>
    <customWorkbookView name="Calculator" guid="{8A0A97B9-6FFA-4611-B3E0-716648B31258}" maximized="1" xWindow="1912" yWindow="-8" windowWidth="1936" windowHeight="106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AA29" i="2"/>
  <c r="AA28" i="2"/>
  <c r="AA27" i="2"/>
  <c r="AA26" i="2"/>
  <c r="F11" i="2"/>
  <c r="N35" i="2" s="1"/>
  <c r="L39" i="2"/>
  <c r="E39" i="2"/>
  <c r="V25" i="2"/>
  <c r="AA24" i="2"/>
  <c r="AB24" i="2" s="1"/>
  <c r="AC24" i="2" s="1"/>
  <c r="V24" i="2"/>
  <c r="L24" i="2"/>
  <c r="E24" i="2"/>
  <c r="V21" i="2"/>
  <c r="N20" i="2"/>
  <c r="G20" i="2"/>
  <c r="F8" i="2"/>
  <c r="D32" i="1"/>
  <c r="V28" i="2" l="1"/>
  <c r="X25" i="2"/>
  <c r="G35" i="2"/>
  <c r="V29" i="2"/>
  <c r="AA25" i="2"/>
  <c r="X24" i="2"/>
  <c r="X29" i="2" s="1"/>
  <c r="G19" i="2" s="1"/>
  <c r="G23" i="2" s="1"/>
  <c r="B35" i="1"/>
  <c r="G24" i="2" l="1"/>
  <c r="G56" i="2" s="1"/>
  <c r="G26" i="2"/>
  <c r="G17" i="2"/>
  <c r="N19" i="2"/>
  <c r="N23" i="2" s="1"/>
  <c r="AB25" i="2"/>
  <c r="AC25" i="2" s="1"/>
  <c r="N34" i="2"/>
  <c r="N38" i="2" s="1"/>
  <c r="G34" i="2"/>
  <c r="G38" i="2" s="1"/>
  <c r="AB26" i="2" l="1"/>
  <c r="AC26" i="2" s="1"/>
  <c r="N57" i="2" s="1"/>
  <c r="N56" i="2"/>
  <c r="G39" i="2"/>
  <c r="G58" i="2" s="1"/>
  <c r="G32" i="2"/>
  <c r="N32" i="2"/>
  <c r="N39" i="2"/>
  <c r="G59" i="2" s="1"/>
  <c r="N17" i="2"/>
  <c r="N24" i="2"/>
  <c r="G57" i="2" s="1"/>
  <c r="B38" i="1"/>
  <c r="N26" i="2" l="1"/>
  <c r="N41" i="2"/>
  <c r="AB27" i="2"/>
  <c r="AC27" i="2" s="1"/>
  <c r="G41" i="2"/>
  <c r="G11" i="1"/>
  <c r="G17" i="1" s="1"/>
  <c r="G14" i="1"/>
  <c r="D35" i="1"/>
  <c r="AB28" i="2" l="1"/>
  <c r="AC28" i="2" s="1"/>
  <c r="N59" i="2" s="1"/>
  <c r="N58" i="2"/>
  <c r="G20" i="1"/>
  <c r="G23" i="1" l="1"/>
  <c r="G26" i="1" s="1"/>
  <c r="G44" i="1" l="1"/>
  <c r="G32" i="1"/>
</calcChain>
</file>

<file path=xl/sharedStrings.xml><?xml version="1.0" encoding="utf-8"?>
<sst xmlns="http://schemas.openxmlformats.org/spreadsheetml/2006/main" count="164" uniqueCount="133">
  <si>
    <t>Current situation</t>
  </si>
  <si>
    <t>How many hours per shift?</t>
  </si>
  <si>
    <t>How many shifts per day?</t>
  </si>
  <si>
    <t>How many days per week?</t>
  </si>
  <si>
    <t>How many staff are required to run the current production process?</t>
  </si>
  <si>
    <t>What % defects are you currently getting?</t>
  </si>
  <si>
    <t>Actual total monthly production</t>
  </si>
  <si>
    <t>With Automation</t>
  </si>
  <si>
    <t>How many staff are required to run the new production process?</t>
  </si>
  <si>
    <t>On average how many minutes would the new production line stop for staff breaks each shift?</t>
  </si>
  <si>
    <t>On average how many minutes would production currently stop for staff breaks each shift?</t>
  </si>
  <si>
    <t>New average downtime in minutes per shift?</t>
  </si>
  <si>
    <t>New % defects</t>
  </si>
  <si>
    <t>New total monthly production</t>
  </si>
  <si>
    <t>Profit per month without automation</t>
  </si>
  <si>
    <t>Profit per month with automation</t>
  </si>
  <si>
    <t>Extra profit per month from automation</t>
  </si>
  <si>
    <t>Total automation project price</t>
  </si>
  <si>
    <t>Estimated finance payment per month</t>
  </si>
  <si>
    <t>Current production rate parts per hour</t>
  </si>
  <si>
    <t>Current average downtime due to machine failure/poor machine design/poor production process in minutes per shift?</t>
  </si>
  <si>
    <t>What is the average staff annual salary?</t>
  </si>
  <si>
    <t>Estimated total production quantity of parts per month</t>
  </si>
  <si>
    <t>New production rate parts per hour</t>
  </si>
  <si>
    <t>% change in production output with automation</t>
  </si>
  <si>
    <t>Finance payback period years</t>
  </si>
  <si>
    <t>Finances</t>
  </si>
  <si>
    <t>Average cost per part excluding this manufacturing process</t>
  </si>
  <si>
    <t>Payback period months</t>
  </si>
  <si>
    <t>Using Finance Lease Purchase</t>
  </si>
  <si>
    <t>No of Years</t>
  </si>
  <si>
    <t>Equipment Value</t>
  </si>
  <si>
    <t>Depreciation</t>
  </si>
  <si>
    <t>Tax Relief</t>
  </si>
  <si>
    <t>1+23</t>
  </si>
  <si>
    <t>1+35</t>
  </si>
  <si>
    <t>1+47</t>
  </si>
  <si>
    <t>1+59</t>
  </si>
  <si>
    <t>Quote Date:</t>
  </si>
  <si>
    <t>Customer Name:</t>
  </si>
  <si>
    <t>Equipment:</t>
  </si>
  <si>
    <t>Equipment Value:</t>
  </si>
  <si>
    <t>Documentation Fee:</t>
  </si>
  <si>
    <t>Corporation Tax Rate:</t>
  </si>
  <si>
    <t>Term of 2 Years</t>
  </si>
  <si>
    <t>Term of 3 Years</t>
  </si>
  <si>
    <t>First payment of</t>
  </si>
  <si>
    <t>23 monthly payments of</t>
  </si>
  <si>
    <t>35 monthly payments of</t>
  </si>
  <si>
    <t>Customer Rate</t>
  </si>
  <si>
    <t>This equates to:</t>
  </si>
  <si>
    <t>Total Cost of</t>
  </si>
  <si>
    <t>Amount £</t>
  </si>
  <si>
    <t>Date</t>
  </si>
  <si>
    <t>Interest Payable</t>
  </si>
  <si>
    <t>Instalment 1</t>
  </si>
  <si>
    <t>Instalment 2</t>
  </si>
  <si>
    <t>Instalment 3</t>
  </si>
  <si>
    <t>Instalment 4</t>
  </si>
  <si>
    <t>Final Instalment</t>
  </si>
  <si>
    <t>Total</t>
  </si>
  <si>
    <t>Term of 4 Years</t>
  </si>
  <si>
    <t>Term of 5 Years</t>
  </si>
  <si>
    <t>47 monthly payments of</t>
  </si>
  <si>
    <t>59 monthly payments of</t>
  </si>
  <si>
    <t>Lease vs Purchase Tax Relief</t>
  </si>
  <si>
    <t>Lease finance agreements have long been considered a smarter way to invest in assets. 
One of the main reasons for doing so is the tax relief businesses can receive. 
The below figures demonstrates the tax relief comparisons between lease rental and cash purchase.
We have used a writing down allowance of 18% for the Outright Purchase Tax Relief example.</t>
  </si>
  <si>
    <t>Lease Rental Tax Relief</t>
  </si>
  <si>
    <t>Outright Purchase Tax Relief</t>
  </si>
  <si>
    <t>Duration of Agreement</t>
  </si>
  <si>
    <t>Relief Value</t>
  </si>
  <si>
    <t>Duration of Ownership</t>
  </si>
  <si>
    <t>2 Years</t>
  </si>
  <si>
    <t>3 Years</t>
  </si>
  <si>
    <t>4 Years</t>
  </si>
  <si>
    <t>5 Years</t>
  </si>
  <si>
    <t>Page 1 of 2</t>
  </si>
  <si>
    <t xml:space="preserve"> TQ11012018</t>
  </si>
  <si>
    <t>Lease Rental Quotation</t>
  </si>
  <si>
    <t>Benefits of Leasing</t>
  </si>
  <si>
    <t>Have Equipment Now</t>
  </si>
  <si>
    <t>By making monthly payments, you can obtain the equipment that could benefit your company sooner, rather than waiting and saving to make a large capital outlay.</t>
  </si>
  <si>
    <t xml:space="preserve">Quicker Return on Investment </t>
  </si>
  <si>
    <t>As you are only paying a monthly rental, you benefit a lot sooner from your investment, sometimes within months, not years.</t>
  </si>
  <si>
    <t xml:space="preserve">Tailored Agreements </t>
  </si>
  <si>
    <t>You choose the length of the finance agreement that best suits you and your needs.</t>
  </si>
  <si>
    <t xml:space="preserve">Easy Budgeting </t>
  </si>
  <si>
    <t>Pay monthly instalments, suitable for your business needs.</t>
  </si>
  <si>
    <t xml:space="preserve">Great Tax Relief </t>
  </si>
  <si>
    <t>The lease rental payments you make will lower the amount of corporation tax you pay at the end of your financial year.</t>
  </si>
  <si>
    <t xml:space="preserve">Keep Cash Flow Intact </t>
  </si>
  <si>
    <t>As monthly repayments are being made, instead of a large capital outlay, your cash flow is less impacted and could be used to invest in your other areas of your business or for items that cannot be financed.</t>
  </si>
  <si>
    <t xml:space="preserve">Finance Decisions Made in Hours </t>
  </si>
  <si>
    <t>No need to wait weeks to see if you are accepted for finance, we can tell you within hours and the sooner you can act, the sooner your business benefits.</t>
  </si>
  <si>
    <t xml:space="preserve">Simple Agreements </t>
  </si>
  <si>
    <t>Our finance agreements are simple to complete and can be completed electronically to help you have the equipment you need sooner, not later.</t>
  </si>
  <si>
    <t>Here to Support</t>
  </si>
  <si>
    <t>Help is only a phone call or email away. Listed below are your contacts at Tower Leasing and if you have any questions about this finance quote, we want to hear from  you.</t>
  </si>
  <si>
    <t>Your Tower Contacts</t>
  </si>
  <si>
    <t>Sam Buckley</t>
  </si>
  <si>
    <t>Emma Gallagher</t>
  </si>
  <si>
    <t>Account Manager</t>
  </si>
  <si>
    <t>New Business</t>
  </si>
  <si>
    <t>Tel:       01753 837 082</t>
  </si>
  <si>
    <t>Tel:      01753 837 050</t>
  </si>
  <si>
    <t>Mobile:  07498 915 621</t>
  </si>
  <si>
    <t>Fax:     01344 327 054</t>
  </si>
  <si>
    <t>Email:   Samuel@towerleasing.co.uk</t>
  </si>
  <si>
    <t>Email:   Emma.Gallagher@towerleasing.co.uk</t>
  </si>
  <si>
    <t>Fees &amp; Important Information</t>
  </si>
  <si>
    <t>This is a lease quotation &amp; subject to credit approval and Anti-Money Laundering and Anti-Fraud checks.
Equipment value and payments are shown are exclusive of VAT.
At the end of the lease term, assuming all rentals have been paid in accordance with the terms, we will offer the title of the equipment back to Granta Automation Ltd for a sum of 1% of the original invoice Value
Corporation tax rate has been assumed and we advise you speak to your accountants for your specific tax rate.
We recommend that you seek individual advice regarding the suitability of the products available before you make a selection.
All Lease agreements attract a charge of a £140 + VAT Documentation Fee
An asset protection charge may be included if the equipment is not covered under your own policy.
We may assign our rights under the agreement to a 3rd party for which we may receive a commission. 
This does not affect the terms and conditions you sign.</t>
  </si>
  <si>
    <t>Page 2 of 2</t>
  </si>
  <si>
    <t>Automation Project Payback Calculator</t>
  </si>
  <si>
    <t>Tax Relief at</t>
  </si>
  <si>
    <t>of</t>
  </si>
  <si>
    <t>Net cost of the finance</t>
  </si>
  <si>
    <t>Project Title:</t>
  </si>
  <si>
    <t>Profit per month after finance payment</t>
  </si>
  <si>
    <t xml:space="preserve">Granta Automation Ltd | Mill Lane | Whittlesford | Cambridge | CB22 4XL </t>
  </si>
  <si>
    <t>granta-automation.co.uk | helpline@granta-automation.co.uk | 01223 499488</t>
  </si>
  <si>
    <t>Disclaimer</t>
  </si>
  <si>
    <t xml:space="preserve">Whilst every effort has been made to ensure that this tool is as accurate as possible, it is only designed to help you calculate productivity based on the information you put into the tool.  We accept no liability for the accuracy of the assessment result or for any decisions you may make based on this assessment tool. </t>
  </si>
  <si>
    <t>Total cost per part without automation</t>
  </si>
  <si>
    <t>Total cost per part with automation</t>
  </si>
  <si>
    <t>If you have any questions or queries whilst using this calculator, please do get in touch on 01223 499488 or 
helpline@granta-automation.co.uk and we will be very happy to help.</t>
  </si>
  <si>
    <t>Average sales price per part (Default = 30%GP on total cost per part without automation)</t>
  </si>
  <si>
    <t>500-1.5k</t>
  </si>
  <si>
    <t>1.5k-5k</t>
  </si>
  <si>
    <t>5k-10k</t>
  </si>
  <si>
    <t>10k-25k</t>
  </si>
  <si>
    <t>25k-50k</t>
  </si>
  <si>
    <t>50k+</t>
  </si>
  <si>
    <t>Weekly payments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</si>
</sst>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
    <numFmt numFmtId="166" formatCode="_(&quot;$&quot;* #,##0.00_);_(&quot;$&quot;* \(#,##0.00\);_(&quot;$&quot;* &quot;-&quot;??_);_(@_)"/>
    <numFmt numFmtId="167" formatCode="_-[$£-809]* #,##0.00_-;\-[$£-809]* #,##0.00_-;_-[$£-809]* &quot;-&quot;??_-;_-@_-"/>
    <numFmt numFmtId="168" formatCode="0.00000"/>
  </numFmts>
  <fonts count="32" x14ac:knownFonts="1">
    <font>
      <sz val="11"/>
      <color theme="1"/>
      <name val="Calibri"/>
      <family val="2"/>
      <scheme val="minor"/>
    </font>
    <font>
      <b/>
      <sz val="11"/>
      <color theme="1"/>
      <name val="Calibri"/>
      <family val="2"/>
      <scheme val="minor"/>
    </font>
    <font>
      <sz val="10"/>
      <color theme="1"/>
      <name val="Arial"/>
      <family val="2"/>
    </font>
    <font>
      <sz val="10"/>
      <color theme="0"/>
      <name val="Arial"/>
      <family val="2"/>
    </font>
    <font>
      <sz val="10"/>
      <color rgb="FFFF0000"/>
      <name val="Arial"/>
      <family val="2"/>
    </font>
    <font>
      <sz val="12"/>
      <color rgb="FFFF0000"/>
      <name val="Arial"/>
      <family val="2"/>
    </font>
    <font>
      <b/>
      <sz val="18"/>
      <color rgb="FF92D050"/>
      <name val="Arial"/>
      <family val="2"/>
    </font>
    <font>
      <sz val="10"/>
      <color theme="1" tint="0.34998626667073579"/>
      <name val="Arial"/>
      <family val="2"/>
    </font>
    <font>
      <sz val="12"/>
      <color theme="1"/>
      <name val="Arial"/>
      <family val="2"/>
    </font>
    <font>
      <b/>
      <sz val="12"/>
      <color rgb="FF92D050"/>
      <name val="Arial"/>
      <family val="2"/>
    </font>
    <font>
      <sz val="12"/>
      <color theme="0"/>
      <name val="Arial"/>
      <family val="2"/>
    </font>
    <font>
      <sz val="8"/>
      <color theme="1"/>
      <name val="Arial"/>
      <family val="2"/>
    </font>
    <font>
      <b/>
      <sz val="11"/>
      <color theme="1" tint="0.34998626667073579"/>
      <name val="Arial"/>
      <family val="2"/>
    </font>
    <font>
      <b/>
      <sz val="10"/>
      <color theme="1"/>
      <name val="Arial"/>
      <family val="2"/>
    </font>
    <font>
      <b/>
      <sz val="11"/>
      <color theme="1"/>
      <name val="Arial"/>
      <family val="2"/>
    </font>
    <font>
      <b/>
      <sz val="12"/>
      <color theme="1" tint="0.499984740745262"/>
      <name val="Arial"/>
      <family val="2"/>
    </font>
    <font>
      <b/>
      <sz val="10"/>
      <color rgb="FF92D050"/>
      <name val="Arial"/>
      <family val="2"/>
    </font>
    <font>
      <b/>
      <sz val="10"/>
      <color theme="1" tint="0.499984740745262"/>
      <name val="Arial"/>
      <family val="2"/>
    </font>
    <font>
      <b/>
      <sz val="14"/>
      <color rgb="FF92D050"/>
      <name val="Arial"/>
      <family val="2"/>
    </font>
    <font>
      <sz val="14"/>
      <color rgb="FF92D050"/>
      <name val="Arial"/>
      <family val="2"/>
    </font>
    <font>
      <b/>
      <sz val="12"/>
      <color theme="1"/>
      <name val="Arial"/>
      <family val="2"/>
    </font>
    <font>
      <b/>
      <sz val="10"/>
      <color theme="0"/>
      <name val="Arial"/>
      <family val="2"/>
    </font>
    <font>
      <b/>
      <sz val="10"/>
      <color theme="1" tint="0.34998626667073579"/>
      <name val="Arial"/>
      <family val="2"/>
    </font>
    <font>
      <b/>
      <sz val="20"/>
      <color rgb="FF92D050"/>
      <name val="Arial"/>
      <family val="2"/>
    </font>
    <font>
      <sz val="9"/>
      <color theme="1" tint="0.34998626667073579"/>
      <name val="Arial"/>
      <family val="2"/>
    </font>
    <font>
      <sz val="8"/>
      <color theme="1" tint="0.34998626667073579"/>
      <name val="Arial"/>
      <family val="2"/>
    </font>
    <font>
      <b/>
      <sz val="12"/>
      <color theme="1"/>
      <name val="Calibri"/>
      <family val="2"/>
      <scheme val="minor"/>
    </font>
    <font>
      <b/>
      <sz val="20"/>
      <color theme="1"/>
      <name val="Calibri"/>
      <family val="2"/>
      <scheme val="minor"/>
    </font>
    <font>
      <sz val="10"/>
      <color rgb="FF9D9C9E"/>
      <name val="Arial"/>
      <family val="2"/>
    </font>
    <font>
      <sz val="11"/>
      <color theme="1"/>
      <name val="Calibri"/>
      <family val="2"/>
      <scheme val="minor"/>
    </font>
    <font>
      <sz val="10"/>
      <color rgb="FF92D050"/>
      <name val="Arial"/>
      <family val="2"/>
    </font>
    <font>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0" fontId="2" fillId="0" borderId="0"/>
    <xf numFmtId="9" fontId="2" fillId="0" borderId="0" applyFont="0" applyFill="0" applyBorder="0" applyAlignment="0" applyProtection="0"/>
    <xf numFmtId="166" fontId="2" fillId="0" borderId="0" applyFont="0" applyFill="0" applyBorder="0" applyAlignment="0" applyProtection="0"/>
    <xf numFmtId="9" fontId="29" fillId="0" borderId="0" applyFont="0" applyFill="0" applyBorder="0" applyAlignment="0" applyProtection="0"/>
  </cellStyleXfs>
  <cellXfs count="100">
    <xf numFmtId="0" fontId="0" fillId="0" borderId="0" xfId="0"/>
    <xf numFmtId="0" fontId="2" fillId="3" borderId="0" xfId="0" applyFont="1" applyFill="1"/>
    <xf numFmtId="0" fontId="2" fillId="3" borderId="0" xfId="0" applyFont="1" applyFill="1" applyAlignment="1">
      <alignment horizontal="left" vertical="center"/>
    </xf>
    <xf numFmtId="164" fontId="7" fillId="3" borderId="0" xfId="0" applyNumberFormat="1" applyFont="1" applyFill="1" applyAlignment="1" applyProtection="1">
      <alignment vertical="center"/>
      <protection locked="0"/>
    </xf>
    <xf numFmtId="9" fontId="2" fillId="3" borderId="0" xfId="0" applyNumberFormat="1" applyFont="1" applyFill="1" applyAlignment="1">
      <alignment horizontal="left"/>
    </xf>
    <xf numFmtId="0" fontId="8" fillId="3" borderId="0" xfId="0" applyFont="1" applyFill="1"/>
    <xf numFmtId="0" fontId="7" fillId="3" borderId="0" xfId="0" applyFont="1" applyFill="1"/>
    <xf numFmtId="164" fontId="7" fillId="3" borderId="0" xfId="0" applyNumberFormat="1" applyFont="1" applyFill="1" applyAlignment="1" applyProtection="1">
      <alignment horizontal="right"/>
      <protection hidden="1"/>
    </xf>
    <xf numFmtId="164" fontId="7" fillId="3" borderId="0" xfId="0" applyNumberFormat="1" applyFont="1" applyFill="1" applyAlignment="1">
      <alignment horizontal="right"/>
    </xf>
    <xf numFmtId="164" fontId="7" fillId="3" borderId="0" xfId="0" applyNumberFormat="1" applyFont="1" applyFill="1" applyAlignment="1">
      <alignment horizontal="left" vertical="center"/>
    </xf>
    <xf numFmtId="9" fontId="7" fillId="3" borderId="0" xfId="0" applyNumberFormat="1" applyFont="1" applyFill="1" applyAlignment="1">
      <alignment horizontal="left"/>
    </xf>
    <xf numFmtId="164" fontId="12" fillId="3" borderId="0" xfId="0" applyNumberFormat="1" applyFont="1" applyFill="1" applyAlignment="1">
      <alignment horizontal="right"/>
    </xf>
    <xf numFmtId="0" fontId="11" fillId="3" borderId="0" xfId="0" applyFont="1" applyFill="1"/>
    <xf numFmtId="0" fontId="13" fillId="3" borderId="0" xfId="0" applyFont="1" applyFill="1" applyAlignment="1">
      <alignment horizontal="left" vertical="center"/>
    </xf>
    <xf numFmtId="0" fontId="19" fillId="3" borderId="0" xfId="0" applyFont="1" applyFill="1" applyAlignment="1">
      <alignment vertical="center" wrapText="1"/>
    </xf>
    <xf numFmtId="0" fontId="7" fillId="3" borderId="0" xfId="0" applyFont="1" applyFill="1" applyAlignment="1">
      <alignment vertical="center" wrapText="1"/>
    </xf>
    <xf numFmtId="0" fontId="18" fillId="3" borderId="0" xfId="0" applyFont="1" applyFill="1" applyAlignment="1">
      <alignment vertical="top" wrapText="1"/>
    </xf>
    <xf numFmtId="0" fontId="13" fillId="3" borderId="0" xfId="0" applyFont="1" applyFill="1"/>
    <xf numFmtId="0" fontId="20" fillId="3" borderId="0" xfId="0" applyFont="1" applyFill="1"/>
    <xf numFmtId="0" fontId="7" fillId="3" borderId="0" xfId="0" applyFont="1" applyFill="1" applyAlignment="1">
      <alignment vertical="top" wrapText="1"/>
    </xf>
    <xf numFmtId="0" fontId="13" fillId="3" borderId="0" xfId="0" applyFont="1" applyFill="1" applyAlignment="1">
      <alignment vertical="center"/>
    </xf>
    <xf numFmtId="0" fontId="21" fillId="3" borderId="0" xfId="0" applyFont="1" applyFill="1" applyAlignment="1">
      <alignment vertical="center"/>
    </xf>
    <xf numFmtId="0" fontId="2" fillId="3" borderId="0" xfId="0" applyFont="1" applyFill="1" applyAlignment="1">
      <alignment vertical="center"/>
    </xf>
    <xf numFmtId="0" fontId="7" fillId="3" borderId="0" xfId="0" applyFont="1" applyFill="1" applyAlignment="1">
      <alignment vertical="top"/>
    </xf>
    <xf numFmtId="0" fontId="22" fillId="3" borderId="0" xfId="0" applyFont="1" applyFill="1" applyAlignment="1">
      <alignment vertical="center" wrapText="1"/>
    </xf>
    <xf numFmtId="0" fontId="24" fillId="3" borderId="0" xfId="0" applyFont="1" applyFill="1"/>
    <xf numFmtId="0" fontId="9" fillId="3" borderId="0" xfId="0" applyFont="1" applyFill="1" applyAlignment="1">
      <alignment vertical="center"/>
    </xf>
    <xf numFmtId="0" fontId="3" fillId="3" borderId="0" xfId="0" applyFont="1" applyFill="1"/>
    <xf numFmtId="0" fontId="7" fillId="3" borderId="0" xfId="0" applyFont="1" applyFill="1" applyAlignment="1">
      <alignment horizontal="left" vertical="center"/>
    </xf>
    <xf numFmtId="0" fontId="7" fillId="3" borderId="0" xfId="0" applyFont="1" applyFill="1" applyAlignment="1">
      <alignment horizontal="center"/>
    </xf>
    <xf numFmtId="0" fontId="0" fillId="0" borderId="0" xfId="0" applyAlignment="1">
      <alignment wrapText="1"/>
    </xf>
    <xf numFmtId="0" fontId="1" fillId="0" borderId="0" xfId="0" applyFont="1" applyAlignment="1">
      <alignment wrapText="1"/>
    </xf>
    <xf numFmtId="10" fontId="0" fillId="0" borderId="0" xfId="0" applyNumberFormat="1" applyAlignment="1">
      <alignment wrapText="1"/>
    </xf>
    <xf numFmtId="0" fontId="26" fillId="0" borderId="0" xfId="0" applyFont="1" applyAlignment="1">
      <alignment wrapText="1"/>
    </xf>
    <xf numFmtId="0" fontId="27" fillId="0" borderId="0" xfId="0" applyFont="1"/>
    <xf numFmtId="0" fontId="1" fillId="0" borderId="0" xfId="0" applyFont="1"/>
    <xf numFmtId="0" fontId="0" fillId="2" borderId="1" xfId="0" applyFill="1" applyBorder="1" applyAlignment="1" applyProtection="1">
      <alignment horizontal="center" wrapText="1"/>
      <protection locked="0"/>
    </xf>
    <xf numFmtId="164" fontId="0" fillId="2" borderId="1" xfId="0" applyNumberFormat="1" applyFill="1" applyBorder="1" applyAlignment="1" applyProtection="1">
      <alignment horizontal="center" wrapText="1"/>
      <protection locked="0"/>
    </xf>
    <xf numFmtId="10" fontId="0" fillId="2" borderId="1" xfId="0" applyNumberFormat="1" applyFill="1" applyBorder="1" applyAlignment="1" applyProtection="1">
      <alignment horizontal="center" wrapText="1"/>
      <protection locked="0"/>
    </xf>
    <xf numFmtId="0" fontId="0" fillId="0" borderId="0" xfId="0" applyAlignment="1">
      <alignment horizontal="center" wrapText="1"/>
    </xf>
    <xf numFmtId="10" fontId="0" fillId="0" borderId="0" xfId="0" applyNumberFormat="1" applyAlignment="1">
      <alignment horizontal="center" wrapText="1"/>
    </xf>
    <xf numFmtId="164" fontId="0" fillId="0" borderId="0" xfId="0" applyNumberFormat="1" applyAlignment="1">
      <alignment horizontal="center" wrapText="1"/>
    </xf>
    <xf numFmtId="0" fontId="28" fillId="0" borderId="0" xfId="0" applyFont="1" applyAlignment="1">
      <alignment wrapText="1"/>
    </xf>
    <xf numFmtId="0" fontId="11" fillId="0" borderId="0" xfId="0" applyFont="1" applyAlignment="1">
      <alignment wrapText="1"/>
    </xf>
    <xf numFmtId="0" fontId="0" fillId="0" borderId="0" xfId="0" applyProtection="1">
      <protection locked="0"/>
    </xf>
    <xf numFmtId="165" fontId="0" fillId="0" borderId="0" xfId="0" applyNumberFormat="1" applyAlignment="1">
      <alignment horizontal="center" vertical="top" wrapText="1"/>
    </xf>
    <xf numFmtId="164" fontId="0" fillId="0" borderId="0" xfId="0" applyNumberFormat="1" applyAlignment="1">
      <alignment horizontal="center" vertical="top" wrapText="1"/>
    </xf>
    <xf numFmtId="0" fontId="28" fillId="0" borderId="0" xfId="0" applyFont="1" applyAlignment="1">
      <alignment wrapText="1"/>
    </xf>
    <xf numFmtId="0" fontId="11" fillId="0" borderId="0" xfId="0" applyFont="1" applyAlignment="1">
      <alignment wrapText="1"/>
    </xf>
    <xf numFmtId="0" fontId="0" fillId="0" borderId="0" xfId="0" applyAlignment="1">
      <alignment horizontal="left" wrapText="1"/>
    </xf>
    <xf numFmtId="0" fontId="25" fillId="3" borderId="0" xfId="0" applyFont="1" applyFill="1" applyAlignment="1">
      <alignment horizontal="left" vertical="top" wrapText="1"/>
    </xf>
    <xf numFmtId="0" fontId="9" fillId="3" borderId="0" xfId="0" applyFont="1" applyFill="1" applyAlignment="1">
      <alignment horizontal="center" vertical="center"/>
    </xf>
    <xf numFmtId="0" fontId="7" fillId="3" borderId="0" xfId="0" applyFont="1" applyFill="1" applyAlignment="1">
      <alignment horizontal="left"/>
    </xf>
    <xf numFmtId="0" fontId="18" fillId="3" borderId="0" xfId="0" applyFont="1" applyFill="1" applyAlignment="1">
      <alignment horizontal="left" vertical="center"/>
    </xf>
    <xf numFmtId="0" fontId="7" fillId="3" borderId="0" xfId="0" applyFont="1" applyFill="1" applyAlignment="1">
      <alignment horizontal="justify" vertical="center" wrapText="1"/>
    </xf>
    <xf numFmtId="0" fontId="23" fillId="3" borderId="0" xfId="0" applyFont="1" applyFill="1" applyAlignment="1">
      <alignment horizontal="left" vertical="center"/>
    </xf>
    <xf numFmtId="0" fontId="12" fillId="3" borderId="0" xfId="0" applyFont="1" applyFill="1" applyAlignment="1">
      <alignment horizontal="center"/>
    </xf>
    <xf numFmtId="0" fontId="18" fillId="3" borderId="0" xfId="0" applyFont="1" applyFill="1" applyAlignment="1">
      <alignment horizontal="left" vertical="center" wrapText="1"/>
    </xf>
    <xf numFmtId="0" fontId="6" fillId="3" borderId="0" xfId="0" applyFont="1" applyFill="1" applyAlignment="1">
      <alignment horizontal="left" vertical="center"/>
    </xf>
    <xf numFmtId="0" fontId="6" fillId="3" borderId="0" xfId="0" applyFont="1" applyFill="1" applyAlignment="1">
      <alignment horizontal="center" vertical="center"/>
    </xf>
    <xf numFmtId="0" fontId="7" fillId="3" borderId="0" xfId="0" applyFont="1" applyFill="1" applyAlignment="1">
      <alignment horizontal="left" vertical="center"/>
    </xf>
    <xf numFmtId="164" fontId="7" fillId="3" borderId="0" xfId="0" applyNumberFormat="1" applyFont="1" applyFill="1" applyAlignment="1" applyProtection="1">
      <alignment horizontal="left" vertical="center"/>
      <protection locked="0"/>
    </xf>
    <xf numFmtId="0" fontId="2" fillId="3" borderId="0" xfId="0" applyFont="1" applyFill="1" applyAlignment="1">
      <alignment horizontal="center"/>
    </xf>
    <xf numFmtId="0" fontId="7" fillId="3" borderId="0" xfId="0" applyFont="1" applyFill="1" applyAlignment="1">
      <alignment horizontal="center" vertical="center" wrapText="1"/>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17" fillId="3" borderId="0" xfId="0" applyFont="1" applyFill="1" applyAlignment="1">
      <alignment horizontal="center" vertical="center"/>
    </xf>
    <xf numFmtId="0" fontId="7" fillId="3" borderId="0" xfId="0" applyFont="1" applyFill="1" applyAlignment="1">
      <alignment horizontal="center"/>
    </xf>
    <xf numFmtId="164" fontId="7" fillId="3" borderId="0" xfId="0" applyNumberFormat="1" applyFont="1" applyFill="1" applyAlignment="1">
      <alignment horizontal="center"/>
    </xf>
    <xf numFmtId="0" fontId="9" fillId="3" borderId="0" xfId="0" applyFont="1" applyFill="1" applyAlignment="1">
      <alignment horizontal="center"/>
    </xf>
    <xf numFmtId="0" fontId="7" fillId="3" borderId="0" xfId="0" applyFont="1" applyFill="1" applyAlignment="1">
      <alignment vertical="center"/>
    </xf>
    <xf numFmtId="14" fontId="7" fillId="3" borderId="0" xfId="0" applyNumberFormat="1" applyFont="1" applyFill="1" applyAlignment="1">
      <alignment horizontal="left" vertical="center"/>
    </xf>
    <xf numFmtId="0" fontId="7" fillId="3" borderId="0" xfId="0" applyFont="1" applyFill="1" applyAlignment="1" applyProtection="1">
      <alignment horizontal="left" vertical="center"/>
      <protection locked="0"/>
    </xf>
    <xf numFmtId="9" fontId="7" fillId="3" borderId="0" xfId="0" applyNumberFormat="1" applyFont="1" applyFill="1" applyAlignment="1" applyProtection="1">
      <alignment horizontal="left" vertical="center"/>
      <protection locked="0"/>
    </xf>
    <xf numFmtId="0" fontId="30" fillId="3" borderId="0" xfId="0" applyFont="1" applyFill="1" applyAlignment="1">
      <alignment horizontal="center"/>
    </xf>
    <xf numFmtId="0" fontId="31" fillId="3" borderId="0" xfId="0" applyFont="1" applyFill="1"/>
    <xf numFmtId="168" fontId="3" fillId="3" borderId="0" xfId="0" applyNumberFormat="1" applyFont="1" applyFill="1" applyProtection="1">
      <protection hidden="1"/>
    </xf>
    <xf numFmtId="0" fontId="4" fillId="3" borderId="0" xfId="0" applyFont="1" applyFill="1"/>
    <xf numFmtId="0" fontId="3" fillId="3" borderId="0" xfId="0" applyFont="1" applyFill="1" applyProtection="1">
      <protection hidden="1"/>
    </xf>
    <xf numFmtId="2" fontId="3" fillId="3" borderId="0" xfId="0" applyNumberFormat="1" applyFont="1" applyFill="1" applyProtection="1">
      <protection hidden="1"/>
    </xf>
    <xf numFmtId="0" fontId="3" fillId="3" borderId="0" xfId="0" applyFont="1" applyFill="1" applyAlignment="1">
      <alignment horizontal="left" vertical="center"/>
    </xf>
    <xf numFmtId="0" fontId="4" fillId="3" borderId="0" xfId="0" applyFont="1" applyFill="1" applyAlignment="1">
      <alignment horizontal="left" vertical="center"/>
    </xf>
    <xf numFmtId="9" fontId="3" fillId="3" borderId="0" xfId="4" applyFont="1" applyFill="1" applyProtection="1">
      <protection hidden="1"/>
    </xf>
    <xf numFmtId="10" fontId="3" fillId="3" borderId="0" xfId="4" applyNumberFormat="1" applyFont="1" applyFill="1" applyProtection="1">
      <protection hidden="1"/>
    </xf>
    <xf numFmtId="0" fontId="31" fillId="3" borderId="0" xfId="0" applyFont="1" applyFill="1" applyProtection="1">
      <protection hidden="1"/>
    </xf>
    <xf numFmtId="9" fontId="31" fillId="3" borderId="0" xfId="4" applyFont="1" applyFill="1" applyProtection="1">
      <protection hidden="1"/>
    </xf>
    <xf numFmtId="10" fontId="31" fillId="3" borderId="0" xfId="4" applyNumberFormat="1" applyFont="1" applyFill="1" applyProtection="1">
      <protection hidden="1"/>
    </xf>
    <xf numFmtId="0" fontId="10" fillId="3" borderId="0" xfId="0" applyFont="1" applyFill="1"/>
    <xf numFmtId="0" fontId="5" fillId="3" borderId="0" xfId="0" applyFont="1" applyFill="1"/>
    <xf numFmtId="0" fontId="2" fillId="3" borderId="0" xfId="1" applyFill="1"/>
    <xf numFmtId="10" fontId="11" fillId="3" borderId="0" xfId="2" applyNumberFormat="1" applyFont="1" applyFill="1" applyBorder="1"/>
    <xf numFmtId="0" fontId="2" fillId="3" borderId="0" xfId="1" applyFill="1" applyAlignment="1">
      <alignment horizontal="center"/>
    </xf>
    <xf numFmtId="0" fontId="3" fillId="3" borderId="0" xfId="0" applyFont="1" applyFill="1" applyAlignment="1">
      <alignment horizontal="center"/>
    </xf>
    <xf numFmtId="167" fontId="2" fillId="3" borderId="0" xfId="3" applyNumberFormat="1" applyFont="1" applyFill="1" applyBorder="1"/>
    <xf numFmtId="14" fontId="2" fillId="3" borderId="0" xfId="1" applyNumberFormat="1" applyFill="1"/>
    <xf numFmtId="164" fontId="3" fillId="3" borderId="0" xfId="0" applyNumberFormat="1" applyFont="1" applyFill="1" applyAlignment="1">
      <alignment horizontal="center"/>
    </xf>
    <xf numFmtId="0" fontId="13" fillId="3" borderId="0" xfId="1" applyFont="1" applyFill="1"/>
    <xf numFmtId="167" fontId="2" fillId="3" borderId="0" xfId="1" applyNumberFormat="1" applyFill="1"/>
    <xf numFmtId="167" fontId="14" fillId="3" borderId="0" xfId="3" applyNumberFormat="1" applyFont="1" applyFill="1" applyBorder="1"/>
    <xf numFmtId="164" fontId="3" fillId="3" borderId="0" xfId="0" applyNumberFormat="1" applyFont="1" applyFill="1"/>
  </cellXfs>
  <cellStyles count="5">
    <cellStyle name="Currency 13" xfId="3" xr:uid="{00000000-0005-0000-0000-000000000000}"/>
    <cellStyle name="Normal" xfId="0" builtinId="0"/>
    <cellStyle name="Normal 13" xfId="1" xr:uid="{00000000-0005-0000-0000-000002000000}"/>
    <cellStyle name="Percent" xfId="4" builtinId="5"/>
    <cellStyle name="Percent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Lease</c:v>
          </c:tx>
          <c:spPr>
            <a:solidFill>
              <a:srgbClr val="92D050"/>
            </a:solidFill>
          </c:spPr>
          <c:invertIfNegative val="0"/>
          <c:cat>
            <c:strRef>
              <c:f>'[1]Rental Calculator'!$D$56:$F$59</c:f>
              <c:strCache>
                <c:ptCount val="4"/>
                <c:pt idx="0">
                  <c:v>2 Years</c:v>
                </c:pt>
                <c:pt idx="1">
                  <c:v>3 Years</c:v>
                </c:pt>
                <c:pt idx="2">
                  <c:v>4 Years</c:v>
                </c:pt>
                <c:pt idx="3">
                  <c:v>5 Years</c:v>
                </c:pt>
              </c:strCache>
            </c:strRef>
          </c:cat>
          <c:val>
            <c:numRef>
              <c:f>'[1]Rental Calculator'!$G$56:$G$59</c:f>
              <c:numCache>
                <c:formatCode>"£"#,##0.00</c:formatCode>
                <c:ptCount val="4"/>
                <c:pt idx="0">
                  <c:v>21696.332026192544</c:v>
                </c:pt>
                <c:pt idx="1">
                  <c:v>22626.505875620263</c:v>
                </c:pt>
                <c:pt idx="2">
                  <c:v>23582.361295710729</c:v>
                </c:pt>
                <c:pt idx="3">
                  <c:v>24563.754486058999</c:v>
                </c:pt>
              </c:numCache>
            </c:numRef>
          </c:val>
          <c:extLst>
            <c:ext xmlns:c16="http://schemas.microsoft.com/office/drawing/2014/chart" uri="{C3380CC4-5D6E-409C-BE32-E72D297353CC}">
              <c16:uniqueId val="{00000000-4514-42CA-9FBC-F9F1A749F4CC}"/>
            </c:ext>
          </c:extLst>
        </c:ser>
        <c:ser>
          <c:idx val="1"/>
          <c:order val="1"/>
          <c:tx>
            <c:v>Cash</c:v>
          </c:tx>
          <c:spPr>
            <a:solidFill>
              <a:schemeClr val="tx1">
                <a:lumMod val="50000"/>
                <a:lumOff val="50000"/>
              </a:schemeClr>
            </a:solidFill>
          </c:spPr>
          <c:invertIfNegative val="0"/>
          <c:cat>
            <c:strRef>
              <c:f>'[1]Rental Calculator'!$D$56:$F$59</c:f>
              <c:strCache>
                <c:ptCount val="4"/>
                <c:pt idx="0">
                  <c:v>2 Years</c:v>
                </c:pt>
                <c:pt idx="1">
                  <c:v>3 Years</c:v>
                </c:pt>
                <c:pt idx="2">
                  <c:v>4 Years</c:v>
                </c:pt>
                <c:pt idx="3">
                  <c:v>5 Years</c:v>
                </c:pt>
              </c:strCache>
            </c:strRef>
          </c:cat>
          <c:val>
            <c:numRef>
              <c:f>'[1]Rental Calculator'!$N$56:$N$59</c:f>
              <c:numCache>
                <c:formatCode>"£"#,##0.00</c:formatCode>
                <c:ptCount val="4"/>
                <c:pt idx="0">
                  <c:v>6224.4</c:v>
                </c:pt>
                <c:pt idx="1">
                  <c:v>8524.0079999999998</c:v>
                </c:pt>
                <c:pt idx="2">
                  <c:v>10409.68656</c:v>
                </c:pt>
                <c:pt idx="3">
                  <c:v>11955.942979200001</c:v>
                </c:pt>
              </c:numCache>
            </c:numRef>
          </c:val>
          <c:extLst>
            <c:ext xmlns:c16="http://schemas.microsoft.com/office/drawing/2014/chart" uri="{C3380CC4-5D6E-409C-BE32-E72D297353CC}">
              <c16:uniqueId val="{00000001-4514-42CA-9FBC-F9F1A749F4CC}"/>
            </c:ext>
          </c:extLst>
        </c:ser>
        <c:dLbls>
          <c:showLegendKey val="0"/>
          <c:showVal val="0"/>
          <c:showCatName val="0"/>
          <c:showSerName val="0"/>
          <c:showPercent val="0"/>
          <c:showBubbleSize val="0"/>
        </c:dLbls>
        <c:gapWidth val="150"/>
        <c:axId val="250322944"/>
        <c:axId val="250324480"/>
      </c:barChart>
      <c:catAx>
        <c:axId val="250322944"/>
        <c:scaling>
          <c:orientation val="minMax"/>
        </c:scaling>
        <c:delete val="0"/>
        <c:axPos val="b"/>
        <c:numFmt formatCode="General" sourceLinked="0"/>
        <c:majorTickMark val="out"/>
        <c:minorTickMark val="none"/>
        <c:tickLblPos val="nextTo"/>
        <c:txPr>
          <a:bodyPr/>
          <a:lstStyle/>
          <a:p>
            <a:pPr>
              <a:defRPr>
                <a:solidFill>
                  <a:schemeClr val="tx1">
                    <a:lumMod val="65000"/>
                    <a:lumOff val="35000"/>
                  </a:schemeClr>
                </a:solidFill>
              </a:defRPr>
            </a:pPr>
            <a:endParaRPr lang="en-US"/>
          </a:p>
        </c:txPr>
        <c:crossAx val="250324480"/>
        <c:crosses val="autoZero"/>
        <c:auto val="1"/>
        <c:lblAlgn val="ctr"/>
        <c:lblOffset val="100"/>
        <c:noMultiLvlLbl val="0"/>
      </c:catAx>
      <c:valAx>
        <c:axId val="250324480"/>
        <c:scaling>
          <c:orientation val="minMax"/>
        </c:scaling>
        <c:delete val="0"/>
        <c:axPos val="l"/>
        <c:majorGridlines/>
        <c:numFmt formatCode="&quot;£&quot;#,##0.00" sourceLinked="1"/>
        <c:majorTickMark val="out"/>
        <c:minorTickMark val="none"/>
        <c:tickLblPos val="nextTo"/>
        <c:txPr>
          <a:bodyPr/>
          <a:lstStyle/>
          <a:p>
            <a:pPr>
              <a:defRPr>
                <a:solidFill>
                  <a:schemeClr val="tx1">
                    <a:lumMod val="65000"/>
                    <a:lumOff val="35000"/>
                  </a:schemeClr>
                </a:solidFill>
              </a:defRPr>
            </a:pPr>
            <a:endParaRPr lang="en-US"/>
          </a:p>
        </c:txPr>
        <c:crossAx val="250322944"/>
        <c:crosses val="autoZero"/>
        <c:crossBetween val="between"/>
      </c:valAx>
    </c:plotArea>
    <c:legend>
      <c:legendPos val="r"/>
      <c:overlay val="0"/>
      <c:txPr>
        <a:bodyPr/>
        <a:lstStyle/>
        <a:p>
          <a:pPr>
            <a:defRPr sz="1100">
              <a:solidFill>
                <a:schemeClr val="tx1">
                  <a:lumMod val="65000"/>
                  <a:lumOff val="35000"/>
                </a:schemeClr>
              </a:solidFill>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Tower Leasing Proposal'!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hyperlink" Target="#Calculator!A1"/><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895350</xdr:colOff>
      <xdr:row>0</xdr:row>
      <xdr:rowOff>57152</xdr:rowOff>
    </xdr:from>
    <xdr:to>
      <xdr:col>7</xdr:col>
      <xdr:colOff>266700</xdr:colOff>
      <xdr:row>1</xdr:row>
      <xdr:rowOff>271961</xdr:rowOff>
    </xdr:to>
    <xdr:pic>
      <xdr:nvPicPr>
        <xdr:cNvPr id="3" name="Picture 2">
          <a:extLst>
            <a:ext uri="{FF2B5EF4-FFF2-40B4-BE49-F238E27FC236}">
              <a16:creationId xmlns:a16="http://schemas.microsoft.com/office/drawing/2014/main" id="{362FFC23-17DA-4C50-9CE5-B6B7C77BD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0" y="57152"/>
          <a:ext cx="2752724" cy="567234"/>
        </a:xfrm>
        <a:prstGeom prst="rect">
          <a:avLst/>
        </a:prstGeom>
      </xdr:spPr>
    </xdr:pic>
    <xdr:clientData/>
  </xdr:twoCellAnchor>
  <xdr:twoCellAnchor>
    <xdr:from>
      <xdr:col>6</xdr:col>
      <xdr:colOff>9524</xdr:colOff>
      <xdr:row>44</xdr:row>
      <xdr:rowOff>28575</xdr:rowOff>
    </xdr:from>
    <xdr:to>
      <xdr:col>7</xdr:col>
      <xdr:colOff>66674</xdr:colOff>
      <xdr:row>45</xdr:row>
      <xdr:rowOff>123825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4C7841C-F16F-461F-B721-0C103D24365A}"/>
            </a:ext>
          </a:extLst>
        </xdr:cNvPr>
        <xdr:cNvSpPr/>
      </xdr:nvSpPr>
      <xdr:spPr>
        <a:xfrm>
          <a:off x="8829674" y="9858375"/>
          <a:ext cx="3438525" cy="285750"/>
        </a:xfrm>
        <a:prstGeom prst="rect">
          <a:avLst/>
        </a:prstGeom>
        <a:solidFill>
          <a:schemeClr val="bg1">
            <a:lumMod val="85000"/>
          </a:schemeClr>
        </a:solidFill>
        <a:ln w="19050">
          <a:noFill/>
        </a:ln>
        <a:effectLst>
          <a:outerShdw blurRad="50800" dist="38100" dir="2700000" algn="tl" rotWithShape="0">
            <a:prstClr val="black">
              <a:alpha val="40000"/>
            </a:prstClr>
          </a:outerShdw>
        </a:effectLst>
        <a:scene3d>
          <a:camera prst="orthographicFront"/>
          <a:lightRig rig="threePt" dir="t"/>
        </a:scene3d>
        <a:sp3d>
          <a:bevelT w="254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View Finance Offer</a:t>
          </a:r>
          <a:r>
            <a:rPr lang="en-GB" sz="1100" baseline="0">
              <a:solidFill>
                <a:sysClr val="windowText" lastClr="000000"/>
              </a:solidFill>
            </a:rPr>
            <a:t> from </a:t>
          </a:r>
          <a:r>
            <a:rPr lang="en-GB" sz="1100">
              <a:solidFill>
                <a:sysClr val="windowText" lastClr="000000"/>
              </a:solidFill>
            </a:rPr>
            <a:t>Tower Leasing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428625</xdr:colOff>
      <xdr:row>7</xdr:row>
      <xdr:rowOff>133350</xdr:rowOff>
    </xdr:from>
    <xdr:to>
      <xdr:col>13</xdr:col>
      <xdr:colOff>981075</xdr:colOff>
      <xdr:row>8</xdr:row>
      <xdr:rowOff>152400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9FB21EA7-40A0-4BF7-BD70-5A5B3724FB17}"/>
            </a:ext>
          </a:extLst>
        </xdr:cNvPr>
        <xdr:cNvSpPr/>
      </xdr:nvSpPr>
      <xdr:spPr>
        <a:xfrm>
          <a:off x="4762500" y="1390650"/>
          <a:ext cx="1971675" cy="257175"/>
        </a:xfrm>
        <a:prstGeom prst="rect">
          <a:avLst/>
        </a:prstGeom>
        <a:solidFill>
          <a:schemeClr val="bg1">
            <a:lumMod val="85000"/>
          </a:schemeClr>
        </a:solidFill>
        <a:ln w="19050">
          <a:noFill/>
        </a:ln>
        <a:effectLst>
          <a:outerShdw blurRad="50800" dist="38100" dir="2700000" algn="tl" rotWithShape="0">
            <a:prstClr val="black">
              <a:alpha val="40000"/>
            </a:prstClr>
          </a:outerShdw>
        </a:effectLst>
        <a:scene3d>
          <a:camera prst="orthographicFront"/>
          <a:lightRig rig="threePt" dir="t"/>
        </a:scene3d>
        <a:sp3d>
          <a:bevelT w="254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View Payback Calculator</a:t>
          </a:r>
        </a:p>
      </xdr:txBody>
    </xdr:sp>
    <xdr:clientData/>
  </xdr:twoCellAnchor>
  <xdr:twoCellAnchor>
    <xdr:from>
      <xdr:col>2</xdr:col>
      <xdr:colOff>0</xdr:colOff>
      <xdr:row>13</xdr:row>
      <xdr:rowOff>9525</xdr:rowOff>
    </xdr:from>
    <xdr:to>
      <xdr:col>8</xdr:col>
      <xdr:colOff>0</xdr:colOff>
      <xdr:row>27</xdr:row>
      <xdr:rowOff>0</xdr:rowOff>
    </xdr:to>
    <xdr:sp macro="" textlink="">
      <xdr:nvSpPr>
        <xdr:cNvPr id="33" name="Rounded Rectangle 2">
          <a:extLst>
            <a:ext uri="{FF2B5EF4-FFF2-40B4-BE49-F238E27FC236}">
              <a16:creationId xmlns:a16="http://schemas.microsoft.com/office/drawing/2014/main" id="{AB94421F-D8EE-44EF-9D40-BD86C49498AB}"/>
            </a:ext>
          </a:extLst>
        </xdr:cNvPr>
        <xdr:cNvSpPr/>
      </xdr:nvSpPr>
      <xdr:spPr>
        <a:xfrm>
          <a:off x="1095375" y="2619375"/>
          <a:ext cx="2743200" cy="2105025"/>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304800</xdr:colOff>
      <xdr:row>13</xdr:row>
      <xdr:rowOff>9525</xdr:rowOff>
    </xdr:from>
    <xdr:to>
      <xdr:col>15</xdr:col>
      <xdr:colOff>0</xdr:colOff>
      <xdr:row>27</xdr:row>
      <xdr:rowOff>0</xdr:rowOff>
    </xdr:to>
    <xdr:sp macro="" textlink="">
      <xdr:nvSpPr>
        <xdr:cNvPr id="34" name="Rounded Rectangle 3">
          <a:extLst>
            <a:ext uri="{FF2B5EF4-FFF2-40B4-BE49-F238E27FC236}">
              <a16:creationId xmlns:a16="http://schemas.microsoft.com/office/drawing/2014/main" id="{D9C61458-E967-4F90-BC97-43D61F80DF09}"/>
            </a:ext>
          </a:extLst>
        </xdr:cNvPr>
        <xdr:cNvSpPr/>
      </xdr:nvSpPr>
      <xdr:spPr>
        <a:xfrm>
          <a:off x="4143375" y="2619375"/>
          <a:ext cx="2790825" cy="2105025"/>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9525</xdr:colOff>
      <xdr:row>28</xdr:row>
      <xdr:rowOff>9525</xdr:rowOff>
    </xdr:from>
    <xdr:to>
      <xdr:col>8</xdr:col>
      <xdr:colOff>9525</xdr:colOff>
      <xdr:row>41</xdr:row>
      <xdr:rowOff>104775</xdr:rowOff>
    </xdr:to>
    <xdr:sp macro="" textlink="">
      <xdr:nvSpPr>
        <xdr:cNvPr id="35" name="Rounded Rectangle 4">
          <a:extLst>
            <a:ext uri="{FF2B5EF4-FFF2-40B4-BE49-F238E27FC236}">
              <a16:creationId xmlns:a16="http://schemas.microsoft.com/office/drawing/2014/main" id="{D72229A9-D14F-4333-8869-457E3B730271}"/>
            </a:ext>
          </a:extLst>
        </xdr:cNvPr>
        <xdr:cNvSpPr/>
      </xdr:nvSpPr>
      <xdr:spPr>
        <a:xfrm>
          <a:off x="1104900" y="4895850"/>
          <a:ext cx="2743200" cy="2105025"/>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304800</xdr:colOff>
      <xdr:row>28</xdr:row>
      <xdr:rowOff>9525</xdr:rowOff>
    </xdr:from>
    <xdr:to>
      <xdr:col>15</xdr:col>
      <xdr:colOff>0</xdr:colOff>
      <xdr:row>41</xdr:row>
      <xdr:rowOff>104775</xdr:rowOff>
    </xdr:to>
    <xdr:sp macro="" textlink="">
      <xdr:nvSpPr>
        <xdr:cNvPr id="36" name="Rounded Rectangle 5">
          <a:extLst>
            <a:ext uri="{FF2B5EF4-FFF2-40B4-BE49-F238E27FC236}">
              <a16:creationId xmlns:a16="http://schemas.microsoft.com/office/drawing/2014/main" id="{8CDB850F-BBA4-4DF9-B023-02852272F444}"/>
            </a:ext>
          </a:extLst>
        </xdr:cNvPr>
        <xdr:cNvSpPr/>
      </xdr:nvSpPr>
      <xdr:spPr>
        <a:xfrm>
          <a:off x="4143375" y="4895850"/>
          <a:ext cx="2790825" cy="2105025"/>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1</xdr:col>
      <xdr:colOff>342900</xdr:colOff>
      <xdr:row>0</xdr:row>
      <xdr:rowOff>0</xdr:rowOff>
    </xdr:from>
    <xdr:to>
      <xdr:col>6</xdr:col>
      <xdr:colOff>420330</xdr:colOff>
      <xdr:row>5</xdr:row>
      <xdr:rowOff>53340</xdr:rowOff>
    </xdr:to>
    <xdr:pic>
      <xdr:nvPicPr>
        <xdr:cNvPr id="37" name="Picture 36">
          <a:extLst>
            <a:ext uri="{FF2B5EF4-FFF2-40B4-BE49-F238E27FC236}">
              <a16:creationId xmlns:a16="http://schemas.microsoft.com/office/drawing/2014/main" id="{7AFFA07B-9F1F-49B7-99E4-B8795E485D7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5926"/>
        <a:stretch/>
      </xdr:blipFill>
      <xdr:spPr bwMode="auto">
        <a:xfrm>
          <a:off x="1057275" y="0"/>
          <a:ext cx="2068155" cy="958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60</xdr:row>
      <xdr:rowOff>66675</xdr:rowOff>
    </xdr:from>
    <xdr:to>
      <xdr:col>14</xdr:col>
      <xdr:colOff>161925</xdr:colOff>
      <xdr:row>66</xdr:row>
      <xdr:rowOff>66674</xdr:rowOff>
    </xdr:to>
    <xdr:graphicFrame macro="">
      <xdr:nvGraphicFramePr>
        <xdr:cNvPr id="38" name="Chart 37">
          <a:extLst>
            <a:ext uri="{FF2B5EF4-FFF2-40B4-BE49-F238E27FC236}">
              <a16:creationId xmlns:a16="http://schemas.microsoft.com/office/drawing/2014/main" id="{BC21D29F-F598-4822-9A17-E2FA7F307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121</xdr:row>
      <xdr:rowOff>85725</xdr:rowOff>
    </xdr:from>
    <xdr:to>
      <xdr:col>8</xdr:col>
      <xdr:colOff>0</xdr:colOff>
      <xdr:row>130</xdr:row>
      <xdr:rowOff>0</xdr:rowOff>
    </xdr:to>
    <xdr:sp macro="" textlink="">
      <xdr:nvSpPr>
        <xdr:cNvPr id="39" name="Rounded Rectangle 14">
          <a:extLst>
            <a:ext uri="{FF2B5EF4-FFF2-40B4-BE49-F238E27FC236}">
              <a16:creationId xmlns:a16="http://schemas.microsoft.com/office/drawing/2014/main" id="{A29EEEBF-647B-4BBC-820C-F66AA36B3D77}"/>
            </a:ext>
          </a:extLst>
        </xdr:cNvPr>
        <xdr:cNvSpPr/>
      </xdr:nvSpPr>
      <xdr:spPr>
        <a:xfrm>
          <a:off x="1095375" y="22431375"/>
          <a:ext cx="2743200" cy="1428750"/>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0</xdr:colOff>
      <xdr:row>121</xdr:row>
      <xdr:rowOff>85725</xdr:rowOff>
    </xdr:from>
    <xdr:to>
      <xdr:col>15</xdr:col>
      <xdr:colOff>9525</xdr:colOff>
      <xdr:row>130</xdr:row>
      <xdr:rowOff>0</xdr:rowOff>
    </xdr:to>
    <xdr:sp macro="" textlink="">
      <xdr:nvSpPr>
        <xdr:cNvPr id="40" name="Rounded Rectangle 15">
          <a:extLst>
            <a:ext uri="{FF2B5EF4-FFF2-40B4-BE49-F238E27FC236}">
              <a16:creationId xmlns:a16="http://schemas.microsoft.com/office/drawing/2014/main" id="{95DEDE9B-CCA9-4B65-9EE4-D7E74C0DCDF8}"/>
            </a:ext>
          </a:extLst>
        </xdr:cNvPr>
        <xdr:cNvSpPr/>
      </xdr:nvSpPr>
      <xdr:spPr>
        <a:xfrm>
          <a:off x="4152900" y="22431375"/>
          <a:ext cx="2790825" cy="1428750"/>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oneCellAnchor>
    <xdr:from>
      <xdr:col>1</xdr:col>
      <xdr:colOff>342900</xdr:colOff>
      <xdr:row>72</xdr:row>
      <xdr:rowOff>0</xdr:rowOff>
    </xdr:from>
    <xdr:ext cx="2105025" cy="969480"/>
    <xdr:pic>
      <xdr:nvPicPr>
        <xdr:cNvPr id="41" name="Picture 40">
          <a:extLst>
            <a:ext uri="{FF2B5EF4-FFF2-40B4-BE49-F238E27FC236}">
              <a16:creationId xmlns:a16="http://schemas.microsoft.com/office/drawing/2014/main" id="{B70BD7B7-57A2-4A5E-93A2-6D29069D3B9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5926"/>
        <a:stretch/>
      </xdr:blipFill>
      <xdr:spPr bwMode="auto">
        <a:xfrm>
          <a:off x="1057275" y="12915900"/>
          <a:ext cx="2105025" cy="969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257175</xdr:colOff>
      <xdr:row>1</xdr:row>
      <xdr:rowOff>114300</xdr:rowOff>
    </xdr:from>
    <xdr:to>
      <xdr:col>10</xdr:col>
      <xdr:colOff>228600</xdr:colOff>
      <xdr:row>5</xdr:row>
      <xdr:rowOff>94621</xdr:rowOff>
    </xdr:to>
    <xdr:pic>
      <xdr:nvPicPr>
        <xdr:cNvPr id="42" name="Picture 41" descr="Image result for granta automation">
          <a:extLst>
            <a:ext uri="{FF2B5EF4-FFF2-40B4-BE49-F238E27FC236}">
              <a16:creationId xmlns:a16="http://schemas.microsoft.com/office/drawing/2014/main" id="{B4CC408F-C94C-47F9-A7A4-56DCE880630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1550" y="276225"/>
          <a:ext cx="3590925" cy="7232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xdr:row>
      <xdr:rowOff>104775</xdr:rowOff>
    </xdr:from>
    <xdr:to>
      <xdr:col>14</xdr:col>
      <xdr:colOff>2829</xdr:colOff>
      <xdr:row>5</xdr:row>
      <xdr:rowOff>184780</xdr:rowOff>
    </xdr:to>
    <xdr:grpSp>
      <xdr:nvGrpSpPr>
        <xdr:cNvPr id="43" name="Group 2">
          <a:extLst>
            <a:ext uri="{FF2B5EF4-FFF2-40B4-BE49-F238E27FC236}">
              <a16:creationId xmlns:a16="http://schemas.microsoft.com/office/drawing/2014/main" id="{F4FB4BB9-C543-4883-BF42-2111EDF723A2}"/>
            </a:ext>
          </a:extLst>
        </xdr:cNvPr>
        <xdr:cNvGrpSpPr>
          <a:grpSpLocks/>
        </xdr:cNvGrpSpPr>
      </xdr:nvGrpSpPr>
      <xdr:grpSpPr bwMode="auto">
        <a:xfrm>
          <a:off x="5181600" y="266700"/>
          <a:ext cx="1574454" cy="822955"/>
          <a:chOff x="102289013" y="106633145"/>
          <a:chExt cx="1904998" cy="943220"/>
        </a:xfrm>
      </xdr:grpSpPr>
      <xdr:pic>
        <xdr:nvPicPr>
          <xdr:cNvPr id="44" name="Picture 43">
            <a:extLst>
              <a:ext uri="{FF2B5EF4-FFF2-40B4-BE49-F238E27FC236}">
                <a16:creationId xmlns:a16="http://schemas.microsoft.com/office/drawing/2014/main" id="{3B099424-5CE0-BE6C-E8EE-66EB9FF2E5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289013" y="106647843"/>
            <a:ext cx="1877642" cy="92852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7AB8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sp macro="" textlink="">
        <xdr:nvSpPr>
          <xdr:cNvPr id="45" name="Text Box 4">
            <a:extLst>
              <a:ext uri="{FF2B5EF4-FFF2-40B4-BE49-F238E27FC236}">
                <a16:creationId xmlns:a16="http://schemas.microsoft.com/office/drawing/2014/main" id="{B4C63510-3F10-289F-E236-D6A309742743}"/>
              </a:ext>
            </a:extLst>
          </xdr:cNvPr>
          <xdr:cNvSpPr txBox="1">
            <a:spLocks noChangeArrowheads="1"/>
          </xdr:cNvSpPr>
        </xdr:nvSpPr>
        <xdr:spPr bwMode="auto">
          <a:xfrm>
            <a:off x="102324869" y="106633145"/>
            <a:ext cx="1869142" cy="3361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GB" sz="1200" b="0" i="1" u="none" strike="noStrike" baseline="0">
                <a:solidFill>
                  <a:srgbClr val="7AB800"/>
                </a:solidFill>
                <a:latin typeface="Arial" panose="020B0604020202020204" pitchFamily="34" charset="0"/>
                <a:cs typeface="Arial" panose="020B0604020202020204" pitchFamily="34" charset="0"/>
              </a:rPr>
              <a:t>In Partnership with</a:t>
            </a:r>
          </a:p>
          <a:p>
            <a:pPr algn="l" rtl="0">
              <a:defRPr sz="1000"/>
            </a:pPr>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20Marsh\AppData\Local\Microsoft\Windows\INetCache\Content.Outlook\RMYCGPLU\Granta%20Automation%20Rental%20Calculator%20inc%20prele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al Calculator"/>
    </sheetNames>
    <sheetDataSet>
      <sheetData sheetId="0">
        <row r="56">
          <cell r="D56" t="str">
            <v>2 Years</v>
          </cell>
          <cell r="G56">
            <v>21696.332026192544</v>
          </cell>
          <cell r="N56">
            <v>6224.4</v>
          </cell>
        </row>
        <row r="57">
          <cell r="D57" t="str">
            <v>3 Years</v>
          </cell>
          <cell r="G57">
            <v>22626.505875620263</v>
          </cell>
          <cell r="N57">
            <v>8524.0079999999998</v>
          </cell>
        </row>
        <row r="58">
          <cell r="D58" t="str">
            <v>4 Years</v>
          </cell>
          <cell r="G58">
            <v>23582.361295710729</v>
          </cell>
          <cell r="N58">
            <v>10409.68656</v>
          </cell>
        </row>
        <row r="59">
          <cell r="D59" t="str">
            <v>5 Years</v>
          </cell>
          <cell r="G59">
            <v>24563.754486058999</v>
          </cell>
          <cell r="N59">
            <v>11955.942979200001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8"/>
  <sheetViews>
    <sheetView showGridLines="0" tabSelected="1" showRuler="0" zoomScale="85" zoomScaleNormal="85" workbookViewId="0">
      <selection activeCell="B8" sqref="B8"/>
    </sheetView>
  </sheetViews>
  <sheetFormatPr defaultRowHeight="15" x14ac:dyDescent="0.25"/>
  <cols>
    <col min="1" max="1" width="4.7109375" customWidth="1"/>
    <col min="2" max="2" width="50.7109375" style="30" customWidth="1"/>
    <col min="3" max="3" width="17.7109375" customWidth="1"/>
    <col min="4" max="4" width="50.7109375" style="30" customWidth="1"/>
    <col min="5" max="5" width="9.140625" hidden="1" customWidth="1"/>
    <col min="6" max="6" width="17.5703125" customWidth="1"/>
    <col min="7" max="7" width="50.7109375" style="30" customWidth="1"/>
    <col min="8" max="8" width="5.28515625" customWidth="1"/>
  </cols>
  <sheetData>
    <row r="1" spans="1:7" ht="27.75" customHeight="1" x14ac:dyDescent="0.4">
      <c r="A1" s="44"/>
      <c r="B1" s="34" t="s">
        <v>112</v>
      </c>
    </row>
    <row r="2" spans="1:7" ht="24.75" customHeight="1" x14ac:dyDescent="0.25">
      <c r="B2" s="31" t="s">
        <v>39</v>
      </c>
      <c r="C2" s="35"/>
      <c r="D2" s="35" t="s">
        <v>116</v>
      </c>
    </row>
    <row r="3" spans="1:7" x14ac:dyDescent="0.25">
      <c r="B3" s="36"/>
      <c r="C3" s="35"/>
      <c r="D3" s="36"/>
    </row>
    <row r="5" spans="1:7" ht="15.75" x14ac:dyDescent="0.25">
      <c r="B5" s="33" t="s">
        <v>0</v>
      </c>
      <c r="D5" s="33" t="s">
        <v>7</v>
      </c>
      <c r="G5" s="33" t="s">
        <v>26</v>
      </c>
    </row>
    <row r="7" spans="1:7" ht="30" x14ac:dyDescent="0.25">
      <c r="B7" s="31" t="s">
        <v>19</v>
      </c>
      <c r="D7" s="31" t="s">
        <v>23</v>
      </c>
      <c r="G7" s="31" t="s">
        <v>27</v>
      </c>
    </row>
    <row r="8" spans="1:7" x14ac:dyDescent="0.25">
      <c r="B8" s="36">
        <v>200</v>
      </c>
      <c r="D8" s="36">
        <v>250</v>
      </c>
      <c r="G8" s="37">
        <v>0</v>
      </c>
    </row>
    <row r="10" spans="1:7" x14ac:dyDescent="0.25">
      <c r="B10" s="31" t="s">
        <v>1</v>
      </c>
      <c r="D10" s="31" t="s">
        <v>1</v>
      </c>
      <c r="G10" s="31" t="s">
        <v>122</v>
      </c>
    </row>
    <row r="11" spans="1:7" x14ac:dyDescent="0.25">
      <c r="B11" s="36">
        <v>10</v>
      </c>
      <c r="D11" s="36">
        <v>10</v>
      </c>
      <c r="G11" s="41">
        <f>G8+((B23*B20*B14)/12+G8*B38*B32)/B38</f>
        <v>0.27610580374399474</v>
      </c>
    </row>
    <row r="13" spans="1:7" x14ac:dyDescent="0.25">
      <c r="B13" s="31" t="s">
        <v>2</v>
      </c>
      <c r="D13" s="31" t="s">
        <v>2</v>
      </c>
      <c r="G13" s="31" t="s">
        <v>123</v>
      </c>
    </row>
    <row r="14" spans="1:7" x14ac:dyDescent="0.25">
      <c r="B14" s="36">
        <v>2</v>
      </c>
      <c r="D14" s="36">
        <v>2</v>
      </c>
      <c r="G14" s="41">
        <f>G8+((B23*D20*D14)/12+G8*D32*D29)/D32</f>
        <v>5.4972541215662779E-2</v>
      </c>
    </row>
    <row r="16" spans="1:7" ht="30" x14ac:dyDescent="0.25">
      <c r="B16" s="31" t="s">
        <v>3</v>
      </c>
      <c r="D16" s="31" t="s">
        <v>3</v>
      </c>
      <c r="G16" s="31" t="s">
        <v>125</v>
      </c>
    </row>
    <row r="17" spans="2:7" x14ac:dyDescent="0.25">
      <c r="B17" s="36">
        <v>5</v>
      </c>
      <c r="D17" s="36">
        <v>7</v>
      </c>
      <c r="G17" s="37">
        <f>G11/0.7</f>
        <v>0.39443686249142107</v>
      </c>
    </row>
    <row r="19" spans="2:7" ht="30" x14ac:dyDescent="0.25">
      <c r="B19" s="31" t="s">
        <v>4</v>
      </c>
      <c r="D19" s="31" t="s">
        <v>8</v>
      </c>
      <c r="G19" s="31" t="s">
        <v>14</v>
      </c>
    </row>
    <row r="20" spans="2:7" x14ac:dyDescent="0.25">
      <c r="B20" s="36">
        <v>5</v>
      </c>
      <c r="D20" s="36">
        <v>2</v>
      </c>
      <c r="G20" s="41">
        <f>(G17-G8)*B38-(B20*B23*B14)/12-G8*B32*B38</f>
        <v>8928.5714285714312</v>
      </c>
    </row>
    <row r="22" spans="2:7" ht="30" x14ac:dyDescent="0.25">
      <c r="B22" s="31" t="s">
        <v>21</v>
      </c>
      <c r="D22" s="31" t="s">
        <v>9</v>
      </c>
      <c r="G22" s="31" t="s">
        <v>15</v>
      </c>
    </row>
    <row r="23" spans="2:7" x14ac:dyDescent="0.25">
      <c r="B23" s="37">
        <v>25000</v>
      </c>
      <c r="D23" s="36">
        <v>0</v>
      </c>
      <c r="G23" s="41">
        <f>(G17-G8)*D32-(B23*D20*D14)/12-G8*D29*D32</f>
        <v>51459.6793491266</v>
      </c>
    </row>
    <row r="25" spans="2:7" ht="30" x14ac:dyDescent="0.25">
      <c r="B25" s="31" t="s">
        <v>10</v>
      </c>
      <c r="D25" s="31" t="s">
        <v>11</v>
      </c>
      <c r="G25" s="31" t="s">
        <v>16</v>
      </c>
    </row>
    <row r="26" spans="2:7" x14ac:dyDescent="0.25">
      <c r="B26" s="36">
        <v>60</v>
      </c>
      <c r="D26" s="36">
        <v>0</v>
      </c>
      <c r="G26" s="46">
        <f>G23-G20</f>
        <v>42531.107920555165</v>
      </c>
    </row>
    <row r="28" spans="2:7" ht="45" x14ac:dyDescent="0.25">
      <c r="B28" s="31" t="s">
        <v>20</v>
      </c>
      <c r="D28" s="31" t="s">
        <v>12</v>
      </c>
      <c r="G28" s="31" t="s">
        <v>17</v>
      </c>
    </row>
    <row r="29" spans="2:7" x14ac:dyDescent="0.25">
      <c r="B29" s="36">
        <v>15</v>
      </c>
      <c r="D29" s="38">
        <v>5.0000000000000001E-4</v>
      </c>
      <c r="G29" s="37">
        <v>100000</v>
      </c>
    </row>
    <row r="31" spans="2:7" x14ac:dyDescent="0.25">
      <c r="B31" s="31" t="s">
        <v>5</v>
      </c>
      <c r="D31" s="31" t="s">
        <v>13</v>
      </c>
      <c r="G31" s="31" t="s">
        <v>28</v>
      </c>
    </row>
    <row r="32" spans="2:7" x14ac:dyDescent="0.25">
      <c r="B32" s="38">
        <v>5.0000000000000001E-3</v>
      </c>
      <c r="D32" s="39">
        <f>D8*(D11-D23/60-D26/60)*D14*D17*52/12*(1-D29)</f>
        <v>151590.83333333334</v>
      </c>
      <c r="G32" s="45">
        <f>G29/G26</f>
        <v>2.3512201983261827</v>
      </c>
    </row>
    <row r="34" spans="2:11" x14ac:dyDescent="0.25">
      <c r="B34" s="31" t="s">
        <v>22</v>
      </c>
      <c r="D34" s="31" t="s">
        <v>24</v>
      </c>
    </row>
    <row r="35" spans="2:11" ht="15.75" x14ac:dyDescent="0.25">
      <c r="B35" s="39">
        <f>B8*(B11-B26/60-B29/60)*B14*B17*52/12*(1-B32)</f>
        <v>75454.166666666657</v>
      </c>
      <c r="D35" s="40">
        <f>D32/B38</f>
        <v>2.0090452261306537</v>
      </c>
      <c r="G35" s="33" t="s">
        <v>29</v>
      </c>
    </row>
    <row r="37" spans="2:11" x14ac:dyDescent="0.25">
      <c r="B37" s="31" t="s">
        <v>6</v>
      </c>
      <c r="G37" s="31" t="s">
        <v>25</v>
      </c>
    </row>
    <row r="38" spans="2:11" x14ac:dyDescent="0.25">
      <c r="B38" s="36">
        <f>B35</f>
        <v>75454.166666666657</v>
      </c>
      <c r="G38" s="36">
        <v>5</v>
      </c>
    </row>
    <row r="40" spans="2:11" ht="15" customHeight="1" x14ac:dyDescent="0.25">
      <c r="B40" s="49" t="s">
        <v>124</v>
      </c>
      <c r="C40" s="49"/>
      <c r="D40" s="49"/>
      <c r="G40" s="31" t="s">
        <v>18</v>
      </c>
    </row>
    <row r="41" spans="2:11" ht="15" customHeight="1" x14ac:dyDescent="0.25">
      <c r="B41" s="49"/>
      <c r="C41" s="49"/>
      <c r="D41" s="49"/>
      <c r="G41" s="41">
        <f>VLOOKUP(G38,'Tower Leasing Proposal'!Z26:AA29,2,FALSE)</f>
        <v>2101.5903057946489</v>
      </c>
    </row>
    <row r="42" spans="2:11" ht="15" customHeight="1" x14ac:dyDescent="0.25"/>
    <row r="43" spans="2:11" ht="15" customHeight="1" x14ac:dyDescent="0.25">
      <c r="B43" s="43" t="s">
        <v>120</v>
      </c>
      <c r="G43" s="31" t="s">
        <v>117</v>
      </c>
    </row>
    <row r="44" spans="2:11" ht="15" customHeight="1" x14ac:dyDescent="0.25">
      <c r="B44" s="48" t="s">
        <v>121</v>
      </c>
      <c r="C44" s="48"/>
      <c r="D44" s="48"/>
      <c r="G44" s="41">
        <f>G26-G41</f>
        <v>40429.517614760516</v>
      </c>
    </row>
    <row r="45" spans="2:11" ht="15" customHeight="1" x14ac:dyDescent="0.25">
      <c r="B45" s="48"/>
      <c r="C45" s="48"/>
      <c r="D45" s="48"/>
    </row>
    <row r="46" spans="2:11" ht="15" customHeight="1" x14ac:dyDescent="0.25"/>
    <row r="47" spans="2:11" ht="15" customHeight="1" x14ac:dyDescent="0.25">
      <c r="B47" s="47" t="s">
        <v>118</v>
      </c>
      <c r="C47" s="47"/>
      <c r="D47" s="47"/>
      <c r="E47" s="30"/>
      <c r="F47" s="30"/>
      <c r="G47" s="47" t="s">
        <v>119</v>
      </c>
      <c r="H47" s="47"/>
      <c r="I47" s="47"/>
    </row>
    <row r="48" spans="2:11" ht="15" customHeight="1" x14ac:dyDescent="0.25">
      <c r="E48" s="43"/>
      <c r="F48" s="43"/>
      <c r="J48" s="42"/>
      <c r="K48" s="42"/>
    </row>
    <row r="49" spans="5:11" ht="13.5" customHeight="1" x14ac:dyDescent="0.25">
      <c r="E49" s="43"/>
      <c r="F49" s="43"/>
      <c r="J49" s="42"/>
      <c r="K49" s="42"/>
    </row>
    <row r="52" spans="5:11" x14ac:dyDescent="0.25">
      <c r="G52" s="31"/>
    </row>
    <row r="55" spans="5:11" x14ac:dyDescent="0.25">
      <c r="G55" s="31"/>
    </row>
    <row r="58" spans="5:11" x14ac:dyDescent="0.25">
      <c r="G58" s="31"/>
    </row>
    <row r="61" spans="5:11" x14ac:dyDescent="0.25">
      <c r="G61" s="31"/>
    </row>
    <row r="64" spans="5:11" x14ac:dyDescent="0.25">
      <c r="G64" s="31"/>
    </row>
    <row r="67" spans="2:7" x14ac:dyDescent="0.25">
      <c r="G67" s="31"/>
    </row>
    <row r="70" spans="2:7" x14ac:dyDescent="0.25">
      <c r="G70" s="31"/>
    </row>
    <row r="73" spans="2:7" x14ac:dyDescent="0.25">
      <c r="G73" s="31"/>
    </row>
    <row r="74" spans="2:7" x14ac:dyDescent="0.25">
      <c r="G74" s="32"/>
    </row>
    <row r="76" spans="2:7" x14ac:dyDescent="0.25">
      <c r="G76" s="31"/>
    </row>
    <row r="78" spans="2:7" x14ac:dyDescent="0.25">
      <c r="B78" s="32"/>
    </row>
    <row r="82" spans="7:7" x14ac:dyDescent="0.25">
      <c r="G82" s="31"/>
    </row>
    <row r="105" spans="5:5" x14ac:dyDescent="0.25">
      <c r="E105">
        <v>2</v>
      </c>
    </row>
    <row r="106" spans="5:5" x14ac:dyDescent="0.25">
      <c r="E106">
        <v>3</v>
      </c>
    </row>
    <row r="107" spans="5:5" x14ac:dyDescent="0.25">
      <c r="E107">
        <v>4</v>
      </c>
    </row>
    <row r="108" spans="5:5" x14ac:dyDescent="0.25">
      <c r="E108">
        <v>5</v>
      </c>
    </row>
  </sheetData>
  <sheetProtection algorithmName="SHA-512" hashValue="yTELp674AtHVKmzcTKi+Swzv+AdiR2HBcKfcMrvg5L6SnS5IPrKgC3vrSP1RaMq4CT5fKkcsi0d75Hrx9PuHRg==" saltValue="sy+/BfB5/vD6FuC0fY8UMw==" spinCount="100000" sheet="1" selectLockedCells="1"/>
  <customSheetViews>
    <customSheetView guid="{8A0A97B9-6FFA-4611-B3E0-716648B31258}" showPageBreaks="1" showGridLines="0" showRowCol="0" fitToPage="1" hiddenColumns="1" showRuler="0">
      <selection activeCell="M8" sqref="M8"/>
      <pageMargins left="0.23622047244094491" right="0.23622047244094491" top="0.23622047244094491" bottom="0.23622047244094491" header="0.31496062992125984" footer="0.31496062992125984"/>
      <pageSetup paperSize="9" scale="76" fitToHeight="0" orientation="landscape" r:id="rId1"/>
    </customSheetView>
  </customSheetViews>
  <mergeCells count="4">
    <mergeCell ref="B47:D47"/>
    <mergeCell ref="G47:I47"/>
    <mergeCell ref="B44:D45"/>
    <mergeCell ref="B40:D41"/>
  </mergeCells>
  <dataValidations count="1">
    <dataValidation type="list" allowBlank="1" showInputMessage="1" showErrorMessage="1" sqref="G38" xr:uid="{00000000-0002-0000-0000-000000000000}">
      <formula1>$E$105:$E$108</formula1>
    </dataValidation>
  </dataValidations>
  <pageMargins left="0.23622047244094491" right="0.23622047244094491" top="0.23622047244094491" bottom="0.23622047244094491" header="0.31496062992125984" footer="0.31496062992125984"/>
  <pageSetup paperSize="9" scale="6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6"/>
  <sheetViews>
    <sheetView showGridLines="0" showRowColHeaders="0" showRuler="0" zoomScaleNormal="100" workbookViewId="0">
      <selection activeCell="P3" sqref="P3"/>
    </sheetView>
  </sheetViews>
  <sheetFormatPr defaultColWidth="9.140625" defaultRowHeight="12.75" customHeight="1" zeroHeight="1" x14ac:dyDescent="0.2"/>
  <cols>
    <col min="1" max="1" width="10.7109375" style="1" customWidth="1"/>
    <col min="2" max="2" width="5.7109375" style="1" customWidth="1"/>
    <col min="3" max="3" width="2.7109375" style="1" customWidth="1"/>
    <col min="4" max="4" width="12.7109375" style="1" customWidth="1"/>
    <col min="5" max="5" width="5" style="1" customWidth="1"/>
    <col min="6" max="6" width="3.7109375" style="1" customWidth="1"/>
    <col min="7" max="7" width="14.28515625" style="1" bestFit="1" customWidth="1"/>
    <col min="8" max="8" width="2.7109375" style="1" customWidth="1"/>
    <col min="9" max="9" width="4.7109375" style="1" customWidth="1"/>
    <col min="10" max="10" width="2.7109375" style="1" customWidth="1"/>
    <col min="11" max="11" width="12.7109375" style="1" customWidth="1"/>
    <col min="12" max="12" width="5" style="1" customWidth="1"/>
    <col min="13" max="13" width="3.5703125" style="1" customWidth="1"/>
    <col min="14" max="14" width="15" style="1" customWidth="1"/>
    <col min="15" max="15" width="2.7109375" style="1" customWidth="1"/>
    <col min="16" max="16" width="5.7109375" style="1" customWidth="1"/>
    <col min="17" max="17" width="10.85546875" style="1" customWidth="1"/>
    <col min="18" max="18" width="10.85546875" style="27" customWidth="1"/>
    <col min="19" max="19" width="9.140625" style="77" customWidth="1"/>
    <col min="20" max="20" width="15" style="77" hidden="1" customWidth="1"/>
    <col min="21" max="21" width="16" style="77" hidden="1" customWidth="1"/>
    <col min="22" max="23" width="12.5703125" style="77" hidden="1" customWidth="1"/>
    <col min="24" max="24" width="12.42578125" style="77" hidden="1" customWidth="1"/>
    <col min="25" max="25" width="18.7109375" style="77" hidden="1" customWidth="1"/>
    <col min="26" max="26" width="16.28515625" style="77" customWidth="1"/>
    <col min="27" max="27" width="12.140625" style="77" customWidth="1"/>
    <col min="28" max="41" width="9.140625" style="27"/>
    <col min="42" max="42" width="9.140625" style="27" customWidth="1"/>
    <col min="43" max="43" width="9.140625" style="27"/>
    <col min="44" max="44" width="12.140625" style="27" customWidth="1"/>
    <col min="45" max="16384" width="9.140625" style="27"/>
  </cols>
  <sheetData>
    <row r="1" spans="1:27" x14ac:dyDescent="0.2">
      <c r="A1" s="62"/>
      <c r="Q1" s="74"/>
      <c r="S1" s="75"/>
      <c r="T1" s="27"/>
      <c r="U1" s="27"/>
      <c r="V1" s="76"/>
      <c r="W1" s="75"/>
      <c r="X1" s="75"/>
      <c r="Y1" s="75"/>
    </row>
    <row r="2" spans="1:27" ht="20.25" customHeight="1" x14ac:dyDescent="0.2">
      <c r="A2" s="62"/>
      <c r="Q2" s="74"/>
      <c r="S2" s="27"/>
      <c r="T2" s="27" t="s">
        <v>126</v>
      </c>
      <c r="U2" s="27" t="s">
        <v>127</v>
      </c>
      <c r="V2" s="27" t="s">
        <v>128</v>
      </c>
      <c r="W2" s="27" t="s">
        <v>129</v>
      </c>
      <c r="X2" s="27" t="s">
        <v>130</v>
      </c>
      <c r="Y2" s="27" t="s">
        <v>131</v>
      </c>
    </row>
    <row r="3" spans="1:27" ht="12.75" customHeight="1" x14ac:dyDescent="0.2">
      <c r="A3" s="62"/>
      <c r="I3" s="59"/>
      <c r="J3" s="59"/>
      <c r="K3" s="59"/>
      <c r="L3" s="59"/>
      <c r="M3" s="59"/>
      <c r="N3" s="59"/>
      <c r="O3" s="59"/>
      <c r="Q3" s="74"/>
      <c r="R3" s="77"/>
      <c r="S3" s="78" t="s">
        <v>34</v>
      </c>
      <c r="T3" s="79">
        <v>47.539546205673261</v>
      </c>
      <c r="U3" s="79">
        <v>47.431511455712098</v>
      </c>
      <c r="V3" s="79">
        <v>46.893246564717799</v>
      </c>
      <c r="W3" s="79">
        <v>46.678834576132395</v>
      </c>
      <c r="X3" s="79">
        <v>46.571820819285172</v>
      </c>
      <c r="Y3" s="79">
        <v>46.25155049603628</v>
      </c>
    </row>
    <row r="4" spans="1:27" ht="12.75" customHeight="1" x14ac:dyDescent="0.2">
      <c r="A4" s="62"/>
      <c r="I4" s="59"/>
      <c r="J4" s="59"/>
      <c r="K4" s="59"/>
      <c r="L4" s="59"/>
      <c r="M4" s="59"/>
      <c r="N4" s="59"/>
      <c r="O4" s="59"/>
      <c r="Q4" s="74"/>
      <c r="R4" s="77"/>
      <c r="S4" s="78"/>
      <c r="T4" s="79"/>
      <c r="U4" s="79"/>
      <c r="V4" s="79"/>
      <c r="W4" s="79"/>
      <c r="X4" s="79"/>
      <c r="Y4" s="79"/>
    </row>
    <row r="5" spans="1:27" ht="12.75" customHeight="1" x14ac:dyDescent="0.2">
      <c r="A5" s="62"/>
      <c r="I5" s="59"/>
      <c r="J5" s="59"/>
      <c r="K5" s="59"/>
      <c r="L5" s="59"/>
      <c r="M5" s="59"/>
      <c r="N5" s="59"/>
      <c r="O5" s="59"/>
      <c r="Q5" s="74"/>
      <c r="R5" s="77"/>
      <c r="S5" s="78" t="s">
        <v>35</v>
      </c>
      <c r="T5" s="79">
        <v>33.543164365453677</v>
      </c>
      <c r="U5" s="79">
        <v>33.429600592453021</v>
      </c>
      <c r="V5" s="79">
        <v>32.86492428726708</v>
      </c>
      <c r="W5" s="79">
        <v>32.64052654979924</v>
      </c>
      <c r="X5" s="79">
        <v>32.528644597383888</v>
      </c>
      <c r="Y5" s="79">
        <v>32.194270285994541</v>
      </c>
    </row>
    <row r="6" spans="1:27" ht="15" customHeight="1" x14ac:dyDescent="0.2">
      <c r="A6" s="62"/>
      <c r="Q6" s="74"/>
      <c r="R6" s="77"/>
      <c r="S6" s="78"/>
      <c r="T6" s="79"/>
      <c r="U6" s="79"/>
      <c r="V6" s="79"/>
      <c r="W6" s="79"/>
      <c r="X6" s="79"/>
      <c r="Y6" s="79"/>
    </row>
    <row r="7" spans="1:27" x14ac:dyDescent="0.2">
      <c r="A7" s="62"/>
      <c r="Q7" s="74"/>
      <c r="R7" s="77"/>
      <c r="S7" s="78" t="s">
        <v>36</v>
      </c>
      <c r="T7" s="79">
        <v>26.594566475808236</v>
      </c>
      <c r="U7" s="79">
        <v>26.476233487819673</v>
      </c>
      <c r="V7" s="79">
        <v>25.888919303040506</v>
      </c>
      <c r="W7" s="79">
        <v>25.656034813331043</v>
      </c>
      <c r="X7" s="79">
        <v>25.540032235855787</v>
      </c>
      <c r="Y7" s="79">
        <v>25.193789797928432</v>
      </c>
    </row>
    <row r="8" spans="1:27" ht="18.75" customHeight="1" x14ac:dyDescent="0.2">
      <c r="A8" s="62"/>
      <c r="C8" s="70" t="s">
        <v>38</v>
      </c>
      <c r="D8" s="70"/>
      <c r="E8" s="70"/>
      <c r="F8" s="71">
        <f ca="1">TODAY()</f>
        <v>44917</v>
      </c>
      <c r="G8" s="71"/>
      <c r="H8" s="71"/>
      <c r="I8" s="71"/>
      <c r="J8" s="71"/>
      <c r="K8" s="71"/>
      <c r="L8" s="71"/>
      <c r="M8" s="71"/>
      <c r="N8" s="71"/>
      <c r="O8" s="71"/>
      <c r="Q8" s="74"/>
      <c r="R8" s="77"/>
      <c r="S8" s="78"/>
      <c r="T8" s="79"/>
      <c r="U8" s="79"/>
      <c r="V8" s="79"/>
      <c r="W8" s="79"/>
      <c r="X8" s="79"/>
      <c r="Y8" s="79"/>
    </row>
    <row r="9" spans="1:27" s="80" customFormat="1" ht="18.75" customHeight="1" x14ac:dyDescent="0.2">
      <c r="A9" s="62"/>
      <c r="B9" s="2"/>
      <c r="C9" s="60" t="s">
        <v>39</v>
      </c>
      <c r="D9" s="60"/>
      <c r="E9" s="60"/>
      <c r="F9" s="72"/>
      <c r="G9" s="72"/>
      <c r="H9" s="72"/>
      <c r="I9" s="72"/>
      <c r="J9" s="72"/>
      <c r="K9" s="72"/>
      <c r="L9" s="72"/>
      <c r="M9" s="72"/>
      <c r="N9" s="72"/>
      <c r="O9" s="72"/>
      <c r="P9" s="2"/>
      <c r="Q9" s="74"/>
      <c r="S9" s="78" t="s">
        <v>37</v>
      </c>
      <c r="T9" s="79">
        <v>22.464689741187929</v>
      </c>
      <c r="U9" s="79">
        <v>22.341922644355751</v>
      </c>
      <c r="V9" s="79">
        <v>21.733609304267468</v>
      </c>
      <c r="W9" s="79">
        <v>21.492878286439975</v>
      </c>
      <c r="X9" s="79">
        <v>21.373072317728901</v>
      </c>
      <c r="Y9" s="79">
        <v>21.015903057946488</v>
      </c>
      <c r="Z9" s="81"/>
      <c r="AA9" s="81"/>
    </row>
    <row r="10" spans="1:27" s="80" customFormat="1" ht="18.75" customHeight="1" x14ac:dyDescent="0.2">
      <c r="A10" s="62"/>
      <c r="B10" s="2"/>
      <c r="C10" s="60" t="s">
        <v>40</v>
      </c>
      <c r="D10" s="60"/>
      <c r="E10" s="60"/>
      <c r="F10" s="72"/>
      <c r="G10" s="72"/>
      <c r="H10" s="72"/>
      <c r="I10" s="72"/>
      <c r="J10" s="72"/>
      <c r="K10" s="72"/>
      <c r="L10" s="72"/>
      <c r="M10" s="72"/>
      <c r="N10" s="72"/>
      <c r="O10" s="72"/>
      <c r="P10" s="2"/>
      <c r="Q10" s="74"/>
      <c r="S10" s="78"/>
      <c r="T10" s="79"/>
      <c r="U10" s="79"/>
      <c r="V10" s="79"/>
      <c r="W10" s="79"/>
      <c r="X10" s="79"/>
      <c r="Y10" s="79"/>
    </row>
    <row r="11" spans="1:27" s="80" customFormat="1" ht="18.75" customHeight="1" x14ac:dyDescent="0.2">
      <c r="A11" s="62"/>
      <c r="B11" s="2"/>
      <c r="C11" s="60" t="s">
        <v>41</v>
      </c>
      <c r="D11" s="60"/>
      <c r="E11" s="60"/>
      <c r="F11" s="61">
        <f>Calculator!G29</f>
        <v>100000</v>
      </c>
      <c r="G11" s="61"/>
      <c r="H11" s="3"/>
      <c r="I11" s="3"/>
      <c r="J11" s="60" t="s">
        <v>42</v>
      </c>
      <c r="K11" s="60"/>
      <c r="L11" s="60"/>
      <c r="M11" s="61">
        <v>100</v>
      </c>
      <c r="N11" s="61"/>
      <c r="O11" s="3"/>
      <c r="P11" s="2"/>
      <c r="Q11" s="74"/>
      <c r="S11" s="78"/>
      <c r="T11" s="82">
        <v>0.12</v>
      </c>
      <c r="U11" s="83">
        <v>0.11749999999999999</v>
      </c>
      <c r="V11" s="83">
        <v>0.105</v>
      </c>
      <c r="W11" s="83">
        <v>0.1</v>
      </c>
      <c r="X11" s="83">
        <v>9.7500000000000003E-2</v>
      </c>
      <c r="Y11" s="83">
        <v>0.09</v>
      </c>
    </row>
    <row r="12" spans="1:27" s="80" customFormat="1" ht="18.75" customHeight="1" x14ac:dyDescent="0.2">
      <c r="A12" s="62"/>
      <c r="B12" s="2"/>
      <c r="C12" s="60" t="s">
        <v>43</v>
      </c>
      <c r="D12" s="60"/>
      <c r="E12" s="60"/>
      <c r="F12" s="73">
        <v>0.19</v>
      </c>
      <c r="G12" s="73"/>
      <c r="H12" s="73"/>
      <c r="I12" s="73"/>
      <c r="J12" s="73"/>
      <c r="K12" s="73"/>
      <c r="L12" s="73"/>
      <c r="M12" s="73"/>
      <c r="N12" s="73"/>
      <c r="O12" s="73"/>
      <c r="P12" s="2"/>
      <c r="Q12" s="74"/>
      <c r="S12" s="78"/>
      <c r="T12" s="79"/>
      <c r="U12" s="79"/>
      <c r="V12" s="79"/>
      <c r="W12" s="79"/>
      <c r="X12" s="79"/>
      <c r="Y12" s="79"/>
    </row>
    <row r="13" spans="1:27" ht="12.75" customHeight="1" x14ac:dyDescent="0.2">
      <c r="A13" s="62"/>
      <c r="F13" s="4"/>
      <c r="G13" s="4"/>
      <c r="Q13" s="74"/>
      <c r="S13" s="84"/>
      <c r="T13" s="85"/>
      <c r="U13" s="86"/>
      <c r="V13" s="86"/>
      <c r="W13" s="86"/>
      <c r="X13" s="86"/>
      <c r="Y13" s="86"/>
    </row>
    <row r="14" spans="1:27" ht="6.75" customHeight="1" x14ac:dyDescent="0.2">
      <c r="A14" s="62"/>
      <c r="Q14" s="74"/>
    </row>
    <row r="15" spans="1:27" ht="15" customHeight="1" x14ac:dyDescent="0.25">
      <c r="A15" s="62"/>
      <c r="B15" s="5"/>
      <c r="C15" s="5"/>
      <c r="D15" s="69" t="s">
        <v>44</v>
      </c>
      <c r="E15" s="69"/>
      <c r="F15" s="69"/>
      <c r="G15" s="69"/>
      <c r="H15" s="5"/>
      <c r="I15" s="5"/>
      <c r="J15" s="5"/>
      <c r="K15" s="69" t="s">
        <v>45</v>
      </c>
      <c r="L15" s="69"/>
      <c r="M15" s="69"/>
      <c r="N15" s="69"/>
      <c r="O15" s="5"/>
      <c r="P15" s="5"/>
      <c r="Q15" s="74"/>
    </row>
    <row r="16" spans="1:27" ht="12.75" customHeight="1" x14ac:dyDescent="0.2">
      <c r="A16" s="62"/>
      <c r="Q16" s="74"/>
    </row>
    <row r="17" spans="1:29" ht="12.75" customHeight="1" x14ac:dyDescent="0.2">
      <c r="A17" s="62"/>
      <c r="D17" s="6" t="s">
        <v>132</v>
      </c>
      <c r="E17" s="6"/>
      <c r="F17" s="6"/>
      <c r="G17" s="7">
        <f>G23/104</f>
        <v>1097.9925114469911</v>
      </c>
      <c r="K17" s="6" t="s">
        <v>132</v>
      </c>
      <c r="L17" s="6"/>
      <c r="M17" s="6"/>
      <c r="N17" s="7">
        <f>N23/156</f>
        <v>763.37739121525863</v>
      </c>
      <c r="Q17" s="74"/>
    </row>
    <row r="18" spans="1:29" s="87" customFormat="1" ht="9" customHeight="1" x14ac:dyDescent="0.2">
      <c r="A18" s="62"/>
      <c r="B18" s="1"/>
      <c r="C18" s="1"/>
      <c r="D18" s="6"/>
      <c r="E18" s="6"/>
      <c r="F18" s="6"/>
      <c r="G18" s="8"/>
      <c r="H18" s="1"/>
      <c r="I18" s="1"/>
      <c r="J18" s="1"/>
      <c r="K18" s="6"/>
      <c r="L18" s="6"/>
      <c r="M18" s="6"/>
      <c r="N18" s="8"/>
      <c r="O18" s="1"/>
      <c r="P18" s="1"/>
      <c r="Q18" s="74"/>
      <c r="S18" s="88"/>
      <c r="T18" s="88"/>
      <c r="U18" s="88"/>
      <c r="V18" s="88"/>
      <c r="W18" s="88"/>
      <c r="X18" s="88"/>
      <c r="Y18" s="88"/>
      <c r="Z18" s="88"/>
      <c r="AA18" s="88"/>
    </row>
    <row r="19" spans="1:29" ht="12" customHeight="1" x14ac:dyDescent="0.2">
      <c r="A19" s="62"/>
      <c r="D19" s="6" t="s">
        <v>46</v>
      </c>
      <c r="E19" s="6"/>
      <c r="F19" s="6"/>
      <c r="G19" s="7">
        <f>G20+X29</f>
        <v>7812.655049603628</v>
      </c>
      <c r="K19" s="6" t="s">
        <v>46</v>
      </c>
      <c r="L19" s="6"/>
      <c r="M19" s="6"/>
      <c r="N19" s="7">
        <f>N20+X29</f>
        <v>6406.9270285994535</v>
      </c>
      <c r="Q19" s="74"/>
    </row>
    <row r="20" spans="1:29" ht="12.75" customHeight="1" x14ac:dyDescent="0.2">
      <c r="A20" s="62"/>
      <c r="D20" s="6" t="s">
        <v>47</v>
      </c>
      <c r="E20" s="6"/>
      <c r="F20" s="6"/>
      <c r="G20" s="7">
        <f>IF($F$11&gt;50000.01,$F$11/1000*$Y$3,IF($F$11&gt;25000.01,$F$11/1000*$X$3,IF($F$11&gt;10000.01,$F$11/1000*$W$3,IF($F$11&gt;5000.01,$F$11/1000*$V$3,IF($F$11&gt;1500.01,$F$11/1000*$U$3,IF($F$11&gt;499.999,$F$11/1000*$T$3))))))</f>
        <v>4625.155049603628</v>
      </c>
      <c r="K20" s="6" t="s">
        <v>48</v>
      </c>
      <c r="L20" s="6"/>
      <c r="M20" s="6"/>
      <c r="N20" s="7">
        <f>IF($F$11&gt;50000.01,$F$11/1000*$Y$5,IF($F$11&gt;25000.01,$F$11/1000*$X$5,IF($F$11&gt;10000.01,$F$11/1000*$W$5,IF($F$11&gt;5000.01,$F$11/1000*$V$5,IF($F$11&gt;1500.01,$F$11/1000*$U$5,IF($F$11&gt;499.999,$F$11/1000*$T$5))))))</f>
        <v>3219.4270285994539</v>
      </c>
      <c r="Q20" s="74"/>
      <c r="U20" s="89"/>
      <c r="W20" s="89"/>
      <c r="X20" s="89"/>
      <c r="Z20" s="27"/>
      <c r="AA20" s="27"/>
    </row>
    <row r="21" spans="1:29" ht="9" customHeight="1" x14ac:dyDescent="0.2">
      <c r="A21" s="62"/>
      <c r="D21" s="6"/>
      <c r="E21" s="6"/>
      <c r="F21" s="6"/>
      <c r="G21" s="8"/>
      <c r="K21" s="6"/>
      <c r="L21" s="6"/>
      <c r="M21" s="6"/>
      <c r="N21" s="8"/>
      <c r="Q21" s="74"/>
      <c r="U21" s="89" t="s">
        <v>49</v>
      </c>
      <c r="V21" s="90">
        <f>IF($F$11&gt;50000.01,$Y$11,IF($F$11&gt;25000.01,$X$11,IF($F$11&gt;10000.01,$W$11,IF($F$11&gt;5000.01,$V$11,IF($F$11&gt;1500.01,$U$11,IF($F$11&gt;499.999,$T$11))))))</f>
        <v>0.09</v>
      </c>
      <c r="W21" s="89"/>
      <c r="X21" s="89"/>
      <c r="Z21" s="27"/>
      <c r="AA21" s="27"/>
    </row>
    <row r="22" spans="1:29" s="80" customFormat="1" ht="16.5" customHeight="1" x14ac:dyDescent="0.2">
      <c r="A22" s="62"/>
      <c r="B22" s="2"/>
      <c r="C22" s="2"/>
      <c r="D22" s="60" t="s">
        <v>50</v>
      </c>
      <c r="E22" s="60"/>
      <c r="F22" s="60"/>
      <c r="G22" s="60"/>
      <c r="H22" s="2"/>
      <c r="I22" s="2"/>
      <c r="J22" s="2"/>
      <c r="K22" s="28" t="s">
        <v>50</v>
      </c>
      <c r="L22" s="28"/>
      <c r="M22" s="28"/>
      <c r="N22" s="9"/>
      <c r="O22" s="2"/>
      <c r="P22" s="2"/>
      <c r="Q22" s="74"/>
      <c r="S22" s="81"/>
      <c r="T22" s="81"/>
      <c r="U22" s="77"/>
      <c r="V22" s="77"/>
      <c r="W22" s="77"/>
      <c r="X22" s="77"/>
      <c r="Y22" s="81"/>
    </row>
    <row r="23" spans="1:29" ht="12.75" customHeight="1" x14ac:dyDescent="0.2">
      <c r="A23" s="62"/>
      <c r="D23" s="6" t="s">
        <v>51</v>
      </c>
      <c r="E23" s="6"/>
      <c r="F23" s="6"/>
      <c r="G23" s="8">
        <f>G20*23+G19</f>
        <v>114191.22119048706</v>
      </c>
      <c r="K23" s="6" t="s">
        <v>51</v>
      </c>
      <c r="L23" s="6"/>
      <c r="M23" s="6"/>
      <c r="N23" s="8">
        <f>N20*35+N19</f>
        <v>119086.87302958034</v>
      </c>
      <c r="Q23" s="74"/>
      <c r="U23" s="89"/>
      <c r="V23" s="91" t="s">
        <v>52</v>
      </c>
      <c r="W23" s="91" t="s">
        <v>53</v>
      </c>
      <c r="X23" s="89" t="s">
        <v>54</v>
      </c>
      <c r="Z23" s="27" t="s">
        <v>30</v>
      </c>
      <c r="AA23" s="92" t="s">
        <v>31</v>
      </c>
      <c r="AB23" s="92" t="s">
        <v>32</v>
      </c>
      <c r="AC23" s="92" t="s">
        <v>33</v>
      </c>
    </row>
    <row r="24" spans="1:29" ht="12.75" customHeight="1" x14ac:dyDescent="0.2">
      <c r="A24" s="62"/>
      <c r="D24" s="6" t="s">
        <v>113</v>
      </c>
      <c r="E24" s="10">
        <f>F12</f>
        <v>0.19</v>
      </c>
      <c r="F24" s="6" t="s">
        <v>114</v>
      </c>
      <c r="G24" s="8">
        <f>G23*E24</f>
        <v>21696.332026192544</v>
      </c>
      <c r="K24" s="6" t="s">
        <v>113</v>
      </c>
      <c r="L24" s="10">
        <f>F12</f>
        <v>0.19</v>
      </c>
      <c r="M24" s="6" t="s">
        <v>114</v>
      </c>
      <c r="N24" s="8">
        <f>N23*L24</f>
        <v>22626.505875620263</v>
      </c>
      <c r="Q24" s="74"/>
      <c r="U24" s="89" t="s">
        <v>55</v>
      </c>
      <c r="V24" s="93">
        <f>F11*30%</f>
        <v>30000</v>
      </c>
      <c r="W24" s="94">
        <v>43154</v>
      </c>
      <c r="X24" s="93">
        <f>V24*($W$28-W24)/360*$V$21</f>
        <v>1357.5</v>
      </c>
      <c r="Z24" s="92">
        <v>1</v>
      </c>
      <c r="AA24" s="95">
        <f>F11</f>
        <v>100000</v>
      </c>
      <c r="AB24" s="95">
        <f>SUM(AA24/100)*18</f>
        <v>18000</v>
      </c>
      <c r="AC24" s="95">
        <f>SUM(AB24*$F$12)</f>
        <v>3420</v>
      </c>
    </row>
    <row r="25" spans="1:29" ht="12.75" customHeight="1" x14ac:dyDescent="0.2">
      <c r="A25" s="62"/>
      <c r="D25" s="6"/>
      <c r="E25" s="6"/>
      <c r="F25" s="6"/>
      <c r="G25" s="8"/>
      <c r="K25" s="6"/>
      <c r="L25" s="6"/>
      <c r="M25" s="6"/>
      <c r="N25" s="8"/>
      <c r="Q25" s="74"/>
      <c r="U25" s="89" t="s">
        <v>56</v>
      </c>
      <c r="V25" s="93">
        <f>F11*60%</f>
        <v>60000</v>
      </c>
      <c r="W25" s="94">
        <v>43213</v>
      </c>
      <c r="X25" s="93">
        <f>V25*($W$28-W25)/360*$V$21</f>
        <v>1829.9999999999998</v>
      </c>
      <c r="Z25" s="92">
        <v>2</v>
      </c>
      <c r="AA25" s="95">
        <f>SUM(AA24-AB24)</f>
        <v>82000</v>
      </c>
      <c r="AB25" s="95">
        <f t="shared" ref="AB25:AB28" si="0">SUM(AA25/100)*18</f>
        <v>14760</v>
      </c>
      <c r="AC25" s="95">
        <f t="shared" ref="AC25:AC28" si="1">SUM(AB25*$F$12)</f>
        <v>2804.4</v>
      </c>
    </row>
    <row r="26" spans="1:29" ht="15" customHeight="1" x14ac:dyDescent="0.25">
      <c r="A26" s="62"/>
      <c r="D26" s="6" t="s">
        <v>115</v>
      </c>
      <c r="E26" s="6"/>
      <c r="F26" s="6"/>
      <c r="G26" s="11">
        <f>G23-G24</f>
        <v>92494.889164294524</v>
      </c>
      <c r="K26" s="6" t="s">
        <v>115</v>
      </c>
      <c r="L26" s="6"/>
      <c r="M26" s="6"/>
      <c r="N26" s="11">
        <f>N23-N24</f>
        <v>96460.367153960076</v>
      </c>
      <c r="Q26" s="74"/>
      <c r="U26" s="89" t="s">
        <v>57</v>
      </c>
      <c r="V26" s="93"/>
      <c r="W26" s="89"/>
      <c r="X26" s="93">
        <v>0</v>
      </c>
      <c r="Z26" s="92">
        <v>2</v>
      </c>
      <c r="AA26" s="95">
        <f>G20</f>
        <v>4625.155049603628</v>
      </c>
      <c r="AB26" s="95">
        <f t="shared" si="0"/>
        <v>832.52790892865301</v>
      </c>
      <c r="AC26" s="95">
        <f t="shared" si="1"/>
        <v>158.18030269644407</v>
      </c>
    </row>
    <row r="27" spans="1:29" ht="6.75" customHeight="1" x14ac:dyDescent="0.2">
      <c r="A27" s="62"/>
      <c r="Q27" s="74"/>
      <c r="U27" s="89" t="s">
        <v>58</v>
      </c>
      <c r="V27" s="93"/>
      <c r="W27" s="89"/>
      <c r="X27" s="93">
        <v>0</v>
      </c>
      <c r="Z27" s="92">
        <v>4</v>
      </c>
      <c r="AA27" s="95">
        <f>G35</f>
        <v>2519.378979792843</v>
      </c>
      <c r="AB27" s="95">
        <f t="shared" si="0"/>
        <v>453.4882163627118</v>
      </c>
      <c r="AC27" s="95">
        <f t="shared" si="1"/>
        <v>86.162761108915248</v>
      </c>
    </row>
    <row r="28" spans="1:29" ht="12.75" customHeight="1" x14ac:dyDescent="0.2">
      <c r="A28" s="62"/>
      <c r="Q28" s="74"/>
      <c r="U28" s="89" t="s">
        <v>59</v>
      </c>
      <c r="V28" s="93">
        <f>F11*10%</f>
        <v>10000</v>
      </c>
      <c r="W28" s="94">
        <v>43335</v>
      </c>
      <c r="X28" s="93">
        <v>0</v>
      </c>
      <c r="Z28" s="92">
        <v>3</v>
      </c>
      <c r="AA28" s="95">
        <f>N20</f>
        <v>3219.4270285994539</v>
      </c>
      <c r="AB28" s="95">
        <f t="shared" si="0"/>
        <v>579.49686514790176</v>
      </c>
      <c r="AC28" s="95">
        <f t="shared" si="1"/>
        <v>110.10440437810134</v>
      </c>
    </row>
    <row r="29" spans="1:29" ht="12.75" customHeight="1" x14ac:dyDescent="0.25">
      <c r="A29" s="62"/>
      <c r="Q29" s="74"/>
      <c r="U29" s="96" t="s">
        <v>60</v>
      </c>
      <c r="V29" s="97">
        <f>SUM(V24:V28)</f>
        <v>100000</v>
      </c>
      <c r="W29" s="89"/>
      <c r="X29" s="98">
        <f>SUM(X24:X28)</f>
        <v>3187.5</v>
      </c>
      <c r="Z29" s="27">
        <v>5</v>
      </c>
      <c r="AA29" s="99">
        <f>N35</f>
        <v>2101.5903057946489</v>
      </c>
    </row>
    <row r="30" spans="1:29" ht="12.75" customHeight="1" x14ac:dyDescent="0.25">
      <c r="A30" s="62"/>
      <c r="B30" s="5"/>
      <c r="C30" s="5"/>
      <c r="D30" s="69" t="s">
        <v>61</v>
      </c>
      <c r="E30" s="69"/>
      <c r="F30" s="69"/>
      <c r="G30" s="69"/>
      <c r="H30" s="5"/>
      <c r="I30" s="5"/>
      <c r="J30" s="5"/>
      <c r="K30" s="69" t="s">
        <v>62</v>
      </c>
      <c r="L30" s="69"/>
      <c r="M30" s="69"/>
      <c r="N30" s="69"/>
      <c r="O30" s="5"/>
      <c r="P30" s="5"/>
      <c r="Q30" s="74"/>
      <c r="Z30" s="27"/>
      <c r="AA30" s="27"/>
    </row>
    <row r="31" spans="1:29" ht="12.75" customHeight="1" x14ac:dyDescent="0.2">
      <c r="A31" s="62"/>
      <c r="Q31" s="74"/>
      <c r="Z31" s="27"/>
      <c r="AA31" s="27"/>
    </row>
    <row r="32" spans="1:29" ht="12.75" customHeight="1" x14ac:dyDescent="0.2">
      <c r="A32" s="62"/>
      <c r="D32" s="6" t="s">
        <v>132</v>
      </c>
      <c r="E32" s="6"/>
      <c r="F32" s="6"/>
      <c r="G32" s="7">
        <f>G38/208</f>
        <v>596.71966841373296</v>
      </c>
      <c r="K32" s="6" t="s">
        <v>132</v>
      </c>
      <c r="L32" s="6"/>
      <c r="M32" s="6"/>
      <c r="N32" s="7">
        <f>N38/260</f>
        <v>497.24199364491898</v>
      </c>
      <c r="Q32" s="74"/>
    </row>
    <row r="33" spans="1:27" s="87" customFormat="1" ht="9" customHeight="1" x14ac:dyDescent="0.2">
      <c r="A33" s="62"/>
      <c r="B33" s="1"/>
      <c r="C33" s="1"/>
      <c r="D33" s="6"/>
      <c r="E33" s="6"/>
      <c r="F33" s="6"/>
      <c r="G33" s="8"/>
      <c r="H33" s="1"/>
      <c r="I33" s="1"/>
      <c r="J33" s="1"/>
      <c r="K33" s="6"/>
      <c r="L33" s="6"/>
      <c r="M33" s="6"/>
      <c r="N33" s="8"/>
      <c r="O33" s="1"/>
      <c r="P33" s="1"/>
      <c r="Q33" s="74"/>
      <c r="S33" s="88"/>
      <c r="T33" s="88"/>
      <c r="U33" s="88"/>
      <c r="V33" s="88"/>
      <c r="W33" s="88"/>
      <c r="X33" s="88"/>
      <c r="Y33" s="88"/>
      <c r="Z33" s="88"/>
      <c r="AA33" s="88"/>
    </row>
    <row r="34" spans="1:27" ht="12.75" customHeight="1" x14ac:dyDescent="0.2">
      <c r="A34" s="62"/>
      <c r="D34" s="6" t="s">
        <v>46</v>
      </c>
      <c r="E34" s="6"/>
      <c r="F34" s="6"/>
      <c r="G34" s="7">
        <f>G35+X29</f>
        <v>5706.878979792843</v>
      </c>
      <c r="K34" s="6" t="s">
        <v>46</v>
      </c>
      <c r="L34" s="6"/>
      <c r="M34" s="6"/>
      <c r="N34" s="7">
        <f>N35+X29</f>
        <v>5289.0903057946489</v>
      </c>
      <c r="Q34" s="74"/>
    </row>
    <row r="35" spans="1:27" ht="12.75" customHeight="1" x14ac:dyDescent="0.2">
      <c r="A35" s="62"/>
      <c r="D35" s="6" t="s">
        <v>63</v>
      </c>
      <c r="E35" s="6"/>
      <c r="F35" s="6"/>
      <c r="G35" s="7">
        <f>IF($F$11&gt;50000.01,$F$11/1000*$Y$7,IF($F$11&gt;25000.01,$F$11/1000*$X$7,IF($F$11&gt;10000.01,$F$11/1000*$W$7,IF($F$11&gt;5000.01,$F$11/1000*$V$7,IF($F$11&gt;1500.01,$F$11/1000*$U$7,IF($F$11&gt;499.999,$F$11/1000*$T$7))))))</f>
        <v>2519.378979792843</v>
      </c>
      <c r="K35" s="6" t="s">
        <v>64</v>
      </c>
      <c r="L35" s="6"/>
      <c r="M35" s="6"/>
      <c r="N35" s="7">
        <f>IF($F$11&gt;50000.01,$F$11/1000*$Y$9,IF($F$11&gt;25000.01,$F$11/1000*$X$9,IF($F$11&gt;10000.01,$F$11/1000*$W$9,IF($F$11&gt;5000.01,$F$11/1000*$V$9,IF($F$11&gt;1500.01,$F$11/1000*$U$9,IF($F$11&gt;499.999,$F$11/1000*$T$9))))))</f>
        <v>2101.5903057946489</v>
      </c>
      <c r="Q35" s="74"/>
    </row>
    <row r="36" spans="1:27" ht="9" customHeight="1" x14ac:dyDescent="0.2">
      <c r="A36" s="62"/>
      <c r="D36" s="6"/>
      <c r="E36" s="6"/>
      <c r="F36" s="6"/>
      <c r="G36" s="8"/>
      <c r="K36" s="6"/>
      <c r="L36" s="6"/>
      <c r="M36" s="6"/>
      <c r="N36" s="8"/>
      <c r="Q36" s="74"/>
    </row>
    <row r="37" spans="1:27" s="80" customFormat="1" ht="16.5" customHeight="1" x14ac:dyDescent="0.25">
      <c r="A37" s="62"/>
      <c r="B37" s="2"/>
      <c r="C37" s="2"/>
      <c r="D37" s="28" t="s">
        <v>50</v>
      </c>
      <c r="E37" s="28"/>
      <c r="F37" s="28"/>
      <c r="G37" s="9"/>
      <c r="H37" s="2"/>
      <c r="I37" s="2"/>
      <c r="J37" s="2"/>
      <c r="K37" s="28" t="s">
        <v>50</v>
      </c>
      <c r="L37" s="28"/>
      <c r="M37" s="28"/>
      <c r="N37" s="9"/>
      <c r="O37" s="2"/>
      <c r="P37" s="2"/>
      <c r="Q37" s="74"/>
      <c r="S37" s="81"/>
      <c r="T37" s="81"/>
      <c r="U37" s="81"/>
      <c r="V37" s="81"/>
      <c r="W37" s="81"/>
      <c r="X37" s="81"/>
      <c r="Y37" s="81"/>
      <c r="Z37" s="81"/>
      <c r="AA37" s="81"/>
    </row>
    <row r="38" spans="1:27" ht="12.75" customHeight="1" x14ac:dyDescent="0.2">
      <c r="A38" s="62"/>
      <c r="D38" s="6" t="s">
        <v>51</v>
      </c>
      <c r="E38" s="6"/>
      <c r="F38" s="6"/>
      <c r="G38" s="8">
        <f>G35*47+G34</f>
        <v>124117.69103005646</v>
      </c>
      <c r="K38" s="6" t="s">
        <v>51</v>
      </c>
      <c r="L38" s="6"/>
      <c r="M38" s="6"/>
      <c r="N38" s="8">
        <f>N35*59+N34</f>
        <v>129282.91834767893</v>
      </c>
      <c r="Q38" s="74"/>
    </row>
    <row r="39" spans="1:27" ht="12.75" customHeight="1" x14ac:dyDescent="0.2">
      <c r="A39" s="62"/>
      <c r="D39" s="6" t="s">
        <v>113</v>
      </c>
      <c r="E39" s="10">
        <f>F12</f>
        <v>0.19</v>
      </c>
      <c r="F39" s="6" t="s">
        <v>114</v>
      </c>
      <c r="G39" s="8">
        <f>G38*E39</f>
        <v>23582.361295710729</v>
      </c>
      <c r="K39" s="6" t="s">
        <v>113</v>
      </c>
      <c r="L39" s="10">
        <f>F12</f>
        <v>0.19</v>
      </c>
      <c r="M39" s="6" t="s">
        <v>114</v>
      </c>
      <c r="N39" s="8">
        <f>N38*L39</f>
        <v>24563.754486058999</v>
      </c>
      <c r="Q39" s="74"/>
    </row>
    <row r="40" spans="1:27" ht="9" customHeight="1" x14ac:dyDescent="0.2">
      <c r="A40" s="62"/>
      <c r="D40" s="6"/>
      <c r="E40" s="6"/>
      <c r="F40" s="6"/>
      <c r="G40" s="8"/>
      <c r="K40" s="6"/>
      <c r="L40" s="6"/>
      <c r="M40" s="6"/>
      <c r="N40" s="8"/>
      <c r="Q40" s="74"/>
    </row>
    <row r="41" spans="1:27" ht="12.75" customHeight="1" x14ac:dyDescent="0.25">
      <c r="A41" s="62"/>
      <c r="D41" s="6" t="s">
        <v>115</v>
      </c>
      <c r="E41" s="6"/>
      <c r="F41" s="6"/>
      <c r="G41" s="11">
        <f>G38-G39</f>
        <v>100535.32973434574</v>
      </c>
      <c r="K41" s="6" t="s">
        <v>115</v>
      </c>
      <c r="L41" s="6"/>
      <c r="M41" s="6"/>
      <c r="N41" s="11">
        <f>N38-N39</f>
        <v>104719.16386161993</v>
      </c>
      <c r="Q41" s="74"/>
    </row>
    <row r="42" spans="1:27" ht="9" customHeight="1" x14ac:dyDescent="0.2">
      <c r="A42" s="62"/>
      <c r="K42" s="6"/>
      <c r="L42" s="6"/>
      <c r="M42" s="6"/>
      <c r="N42" s="6"/>
      <c r="Q42" s="74"/>
    </row>
    <row r="43" spans="1:27" ht="18" customHeight="1" x14ac:dyDescent="0.2">
      <c r="A43" s="62"/>
      <c r="Q43" s="74"/>
    </row>
    <row r="44" spans="1:27" ht="15.75" customHeight="1" x14ac:dyDescent="0.2">
      <c r="A44" s="62"/>
      <c r="C44" s="59" t="s">
        <v>65</v>
      </c>
      <c r="D44" s="59"/>
      <c r="E44" s="59"/>
      <c r="F44" s="59"/>
      <c r="G44" s="59"/>
      <c r="H44" s="59"/>
      <c r="I44" s="59"/>
      <c r="J44" s="59"/>
      <c r="K44" s="59"/>
      <c r="L44" s="59"/>
      <c r="M44" s="59"/>
      <c r="N44" s="59"/>
      <c r="O44" s="59"/>
      <c r="Q44" s="74"/>
    </row>
    <row r="45" spans="1:27" ht="12.75" customHeight="1" x14ac:dyDescent="0.2">
      <c r="A45" s="62"/>
      <c r="C45" s="59"/>
      <c r="D45" s="59"/>
      <c r="E45" s="59"/>
      <c r="F45" s="59"/>
      <c r="G45" s="59"/>
      <c r="H45" s="59"/>
      <c r="I45" s="59"/>
      <c r="J45" s="59"/>
      <c r="K45" s="59"/>
      <c r="L45" s="59"/>
      <c r="M45" s="59"/>
      <c r="N45" s="59"/>
      <c r="O45" s="59"/>
      <c r="Q45" s="74"/>
    </row>
    <row r="46" spans="1:27" ht="12.75" customHeight="1" x14ac:dyDescent="0.2">
      <c r="A46" s="62"/>
      <c r="C46" s="63" t="s">
        <v>66</v>
      </c>
      <c r="D46" s="63"/>
      <c r="E46" s="63"/>
      <c r="F46" s="63"/>
      <c r="G46" s="63"/>
      <c r="H46" s="63"/>
      <c r="I46" s="63"/>
      <c r="J46" s="63"/>
      <c r="K46" s="63"/>
      <c r="L46" s="63"/>
      <c r="M46" s="63"/>
      <c r="N46" s="63"/>
      <c r="O46" s="63"/>
      <c r="Q46" s="74"/>
    </row>
    <row r="47" spans="1:27" ht="18" customHeight="1" x14ac:dyDescent="0.2">
      <c r="A47" s="62"/>
      <c r="C47" s="63"/>
      <c r="D47" s="63"/>
      <c r="E47" s="63"/>
      <c r="F47" s="63"/>
      <c r="G47" s="63"/>
      <c r="H47" s="63"/>
      <c r="I47" s="63"/>
      <c r="J47" s="63"/>
      <c r="K47" s="63"/>
      <c r="L47" s="63"/>
      <c r="M47" s="63"/>
      <c r="N47" s="63"/>
      <c r="O47" s="63"/>
      <c r="Q47" s="74"/>
    </row>
    <row r="48" spans="1:27" ht="12.75" customHeight="1" x14ac:dyDescent="0.2">
      <c r="A48" s="62"/>
      <c r="C48" s="63"/>
      <c r="D48" s="63"/>
      <c r="E48" s="63"/>
      <c r="F48" s="63"/>
      <c r="G48" s="63"/>
      <c r="H48" s="63"/>
      <c r="I48" s="63"/>
      <c r="J48" s="63"/>
      <c r="K48" s="63"/>
      <c r="L48" s="63"/>
      <c r="M48" s="63"/>
      <c r="N48" s="63"/>
      <c r="O48" s="63"/>
      <c r="Q48" s="74"/>
    </row>
    <row r="49" spans="1:17" ht="12.75" customHeight="1" x14ac:dyDescent="0.2">
      <c r="A49" s="62"/>
      <c r="C49" s="63"/>
      <c r="D49" s="63"/>
      <c r="E49" s="63"/>
      <c r="F49" s="63"/>
      <c r="G49" s="63"/>
      <c r="H49" s="63"/>
      <c r="I49" s="63"/>
      <c r="J49" s="63"/>
      <c r="K49" s="63"/>
      <c r="L49" s="63"/>
      <c r="M49" s="63"/>
      <c r="N49" s="63"/>
      <c r="O49" s="63"/>
      <c r="Q49" s="74"/>
    </row>
    <row r="50" spans="1:17" x14ac:dyDescent="0.2">
      <c r="A50" s="62"/>
      <c r="C50" s="63"/>
      <c r="D50" s="63"/>
      <c r="E50" s="63"/>
      <c r="F50" s="63"/>
      <c r="G50" s="63"/>
      <c r="H50" s="63"/>
      <c r="I50" s="63"/>
      <c r="J50" s="63"/>
      <c r="K50" s="63"/>
      <c r="L50" s="63"/>
      <c r="M50" s="63"/>
      <c r="N50" s="63"/>
      <c r="O50" s="63"/>
      <c r="Q50" s="74"/>
    </row>
    <row r="51" spans="1:17" ht="12.75" customHeight="1" x14ac:dyDescent="0.2">
      <c r="A51" s="62"/>
      <c r="Q51" s="74"/>
    </row>
    <row r="52" spans="1:17" ht="12.75" customHeight="1" x14ac:dyDescent="0.2">
      <c r="A52" s="62"/>
      <c r="D52" s="51" t="s">
        <v>67</v>
      </c>
      <c r="E52" s="51"/>
      <c r="F52" s="51"/>
      <c r="G52" s="51"/>
      <c r="H52" s="51"/>
      <c r="K52" s="64" t="s">
        <v>68</v>
      </c>
      <c r="L52" s="64"/>
      <c r="M52" s="64"/>
      <c r="N52" s="64"/>
      <c r="O52" s="64"/>
      <c r="Q52" s="74"/>
    </row>
    <row r="53" spans="1:17" ht="12.75" customHeight="1" x14ac:dyDescent="0.2">
      <c r="A53" s="62"/>
      <c r="D53" s="51"/>
      <c r="E53" s="51"/>
      <c r="F53" s="51"/>
      <c r="G53" s="51"/>
      <c r="H53" s="51"/>
      <c r="K53" s="64"/>
      <c r="L53" s="64"/>
      <c r="M53" s="64"/>
      <c r="N53" s="64"/>
      <c r="O53" s="64"/>
      <c r="Q53" s="74"/>
    </row>
    <row r="54" spans="1:17" x14ac:dyDescent="0.2">
      <c r="A54" s="62"/>
      <c r="D54" s="65" t="s">
        <v>69</v>
      </c>
      <c r="E54" s="65"/>
      <c r="F54" s="65"/>
      <c r="G54" s="65" t="s">
        <v>70</v>
      </c>
      <c r="H54" s="65"/>
      <c r="K54" s="66" t="s">
        <v>71</v>
      </c>
      <c r="L54" s="66"/>
      <c r="M54" s="66"/>
      <c r="N54" s="66" t="s">
        <v>70</v>
      </c>
      <c r="O54" s="66"/>
      <c r="Q54" s="74"/>
    </row>
    <row r="55" spans="1:17" ht="12.75" customHeight="1" x14ac:dyDescent="0.2">
      <c r="A55" s="62"/>
      <c r="D55" s="65"/>
      <c r="E55" s="65"/>
      <c r="F55" s="65"/>
      <c r="G55" s="65"/>
      <c r="H55" s="65"/>
      <c r="K55" s="66"/>
      <c r="L55" s="66"/>
      <c r="M55" s="66"/>
      <c r="N55" s="66"/>
      <c r="O55" s="66"/>
      <c r="Q55" s="74"/>
    </row>
    <row r="56" spans="1:17" ht="12.75" customHeight="1" x14ac:dyDescent="0.2">
      <c r="A56" s="62"/>
      <c r="D56" s="67" t="s">
        <v>72</v>
      </c>
      <c r="E56" s="67"/>
      <c r="F56" s="67"/>
      <c r="G56" s="68">
        <f>G24</f>
        <v>21696.332026192544</v>
      </c>
      <c r="H56" s="68"/>
      <c r="I56" s="6"/>
      <c r="J56" s="6"/>
      <c r="K56" s="67" t="s">
        <v>72</v>
      </c>
      <c r="L56" s="67"/>
      <c r="M56" s="67"/>
      <c r="N56" s="68">
        <f>SUM(AC24:AC25)</f>
        <v>6224.4</v>
      </c>
      <c r="O56" s="68"/>
      <c r="Q56" s="74"/>
    </row>
    <row r="57" spans="1:17" ht="12.75" customHeight="1" x14ac:dyDescent="0.2">
      <c r="A57" s="62"/>
      <c r="D57" s="67" t="s">
        <v>73</v>
      </c>
      <c r="E57" s="67"/>
      <c r="F57" s="67"/>
      <c r="G57" s="68">
        <f>N24</f>
        <v>22626.505875620263</v>
      </c>
      <c r="H57" s="68"/>
      <c r="I57" s="6"/>
      <c r="J57" s="6"/>
      <c r="K57" s="67" t="s">
        <v>73</v>
      </c>
      <c r="L57" s="67"/>
      <c r="M57" s="67"/>
      <c r="N57" s="68">
        <f>SUM(AC24:AC26)</f>
        <v>6382.5803026964441</v>
      </c>
      <c r="O57" s="68"/>
      <c r="Q57" s="74"/>
    </row>
    <row r="58" spans="1:17" ht="12.75" customHeight="1" x14ac:dyDescent="0.2">
      <c r="A58" s="62"/>
      <c r="D58" s="67" t="s">
        <v>74</v>
      </c>
      <c r="E58" s="67"/>
      <c r="F58" s="67"/>
      <c r="G58" s="68">
        <f>G39</f>
        <v>23582.361295710729</v>
      </c>
      <c r="H58" s="68"/>
      <c r="I58" s="6"/>
      <c r="J58" s="6"/>
      <c r="K58" s="67" t="s">
        <v>74</v>
      </c>
      <c r="L58" s="67"/>
      <c r="M58" s="67"/>
      <c r="N58" s="68">
        <f>SUM(AC24:AC27)</f>
        <v>6468.7430638053593</v>
      </c>
      <c r="O58" s="68"/>
      <c r="Q58" s="74"/>
    </row>
    <row r="59" spans="1:17" ht="12.75" customHeight="1" x14ac:dyDescent="0.2">
      <c r="A59" s="62"/>
      <c r="D59" s="67" t="s">
        <v>75</v>
      </c>
      <c r="E59" s="67"/>
      <c r="F59" s="67"/>
      <c r="G59" s="68">
        <f>N39</f>
        <v>24563.754486058999</v>
      </c>
      <c r="H59" s="68"/>
      <c r="I59" s="6"/>
      <c r="J59" s="6"/>
      <c r="K59" s="67" t="s">
        <v>75</v>
      </c>
      <c r="L59" s="67"/>
      <c r="M59" s="67"/>
      <c r="N59" s="68">
        <f>SUM(AC24:AC28)</f>
        <v>6578.8474681834605</v>
      </c>
      <c r="O59" s="68"/>
      <c r="Q59" s="74"/>
    </row>
    <row r="60" spans="1:17" ht="12.75" customHeight="1" x14ac:dyDescent="0.2">
      <c r="A60" s="62"/>
      <c r="Q60" s="74"/>
    </row>
    <row r="61" spans="1:17" ht="12.75" customHeight="1" x14ac:dyDescent="0.2">
      <c r="A61" s="62"/>
      <c r="Q61" s="74"/>
    </row>
    <row r="62" spans="1:17" ht="12.75" customHeight="1" x14ac:dyDescent="0.2">
      <c r="A62" s="62"/>
      <c r="Q62" s="74"/>
    </row>
    <row r="63" spans="1:17" ht="12.75" customHeight="1" x14ac:dyDescent="0.2">
      <c r="A63" s="62"/>
      <c r="Q63" s="74"/>
    </row>
    <row r="64" spans="1:17" ht="12.75" customHeight="1" x14ac:dyDescent="0.2">
      <c r="A64" s="62"/>
      <c r="Q64" s="74"/>
    </row>
    <row r="65" spans="1:17" ht="12.75" customHeight="1" x14ac:dyDescent="0.2">
      <c r="A65" s="62"/>
      <c r="Q65" s="74"/>
    </row>
    <row r="66" spans="1:17" ht="81.75" customHeight="1" x14ac:dyDescent="0.2">
      <c r="A66" s="62"/>
      <c r="B66" s="12"/>
      <c r="P66" s="12"/>
      <c r="Q66" s="74"/>
    </row>
    <row r="67" spans="1:17" ht="12.75" customHeight="1" x14ac:dyDescent="0.2">
      <c r="A67" s="62"/>
      <c r="Q67" s="74"/>
    </row>
    <row r="68" spans="1:17" ht="12.75" customHeight="1" x14ac:dyDescent="0.2">
      <c r="A68" s="62"/>
      <c r="N68" s="51" t="s">
        <v>76</v>
      </c>
      <c r="O68" s="51"/>
      <c r="P68" s="51"/>
      <c r="Q68" s="74"/>
    </row>
    <row r="69" spans="1:17" ht="12.75" customHeight="1" x14ac:dyDescent="0.2">
      <c r="A69" s="62"/>
      <c r="B69" s="52" t="s">
        <v>77</v>
      </c>
      <c r="C69" s="52"/>
      <c r="D69" s="52"/>
      <c r="E69" s="6"/>
      <c r="F69" s="6"/>
      <c r="G69" s="6"/>
      <c r="H69" s="6"/>
      <c r="I69" s="6"/>
      <c r="J69" s="6"/>
      <c r="K69" s="6"/>
      <c r="L69" s="6"/>
      <c r="M69" s="6"/>
      <c r="N69" s="51"/>
      <c r="O69" s="51"/>
      <c r="P69" s="51"/>
      <c r="Q69" s="74"/>
    </row>
    <row r="70" spans="1:17" x14ac:dyDescent="0.2">
      <c r="A70" s="62"/>
      <c r="B70" s="62"/>
      <c r="C70" s="62"/>
      <c r="D70" s="62"/>
      <c r="E70" s="62"/>
      <c r="F70" s="62"/>
      <c r="G70" s="62"/>
      <c r="H70" s="62"/>
      <c r="I70" s="62"/>
      <c r="J70" s="62"/>
      <c r="K70" s="62"/>
      <c r="L70" s="62"/>
      <c r="M70" s="62"/>
      <c r="N70" s="62"/>
      <c r="O70" s="62"/>
      <c r="P70" s="62"/>
      <c r="Q70" s="62"/>
    </row>
    <row r="71" spans="1:17" x14ac:dyDescent="0.2">
      <c r="A71" s="62"/>
      <c r="B71" s="62"/>
      <c r="C71" s="62"/>
      <c r="D71" s="62"/>
      <c r="E71" s="62"/>
      <c r="F71" s="62"/>
      <c r="G71" s="62"/>
      <c r="H71" s="62"/>
      <c r="I71" s="62"/>
      <c r="J71" s="62"/>
      <c r="K71" s="62"/>
      <c r="L71" s="62"/>
      <c r="M71" s="62"/>
      <c r="N71" s="62"/>
      <c r="O71" s="62"/>
      <c r="P71" s="62"/>
      <c r="Q71" s="62"/>
    </row>
    <row r="72" spans="1:17" x14ac:dyDescent="0.2">
      <c r="A72" s="62"/>
      <c r="B72" s="62"/>
      <c r="C72" s="62"/>
      <c r="D72" s="62"/>
      <c r="E72" s="62"/>
      <c r="F72" s="62"/>
      <c r="G72" s="62"/>
      <c r="H72" s="62"/>
      <c r="I72" s="62"/>
      <c r="J72" s="62"/>
      <c r="K72" s="62"/>
      <c r="L72" s="62"/>
      <c r="M72" s="62"/>
      <c r="N72" s="62"/>
      <c r="O72" s="62"/>
      <c r="P72" s="62"/>
      <c r="Q72" s="62"/>
    </row>
    <row r="73" spans="1:17" x14ac:dyDescent="0.2">
      <c r="A73" s="62"/>
      <c r="Q73" s="62"/>
    </row>
    <row r="74" spans="1:17" ht="12.75" customHeight="1" x14ac:dyDescent="0.2">
      <c r="A74" s="62"/>
      <c r="Q74" s="62"/>
    </row>
    <row r="75" spans="1:17" ht="12.75" customHeight="1" x14ac:dyDescent="0.2">
      <c r="A75" s="62"/>
      <c r="I75" s="59" t="s">
        <v>78</v>
      </c>
      <c r="J75" s="59"/>
      <c r="K75" s="59"/>
      <c r="L75" s="59"/>
      <c r="M75" s="59"/>
      <c r="N75" s="59"/>
      <c r="O75" s="59"/>
      <c r="Q75" s="62"/>
    </row>
    <row r="76" spans="1:17" ht="12.75" customHeight="1" x14ac:dyDescent="0.2">
      <c r="A76" s="62"/>
      <c r="I76" s="59"/>
      <c r="J76" s="59"/>
      <c r="K76" s="59"/>
      <c r="L76" s="59"/>
      <c r="M76" s="59"/>
      <c r="N76" s="59"/>
      <c r="O76" s="59"/>
      <c r="Q76" s="62"/>
    </row>
    <row r="77" spans="1:17" x14ac:dyDescent="0.2">
      <c r="A77" s="62"/>
      <c r="I77" s="59"/>
      <c r="J77" s="59"/>
      <c r="K77" s="59"/>
      <c r="L77" s="59"/>
      <c r="M77" s="59"/>
      <c r="N77" s="59"/>
      <c r="O77" s="59"/>
      <c r="Q77" s="62"/>
    </row>
    <row r="78" spans="1:17" x14ac:dyDescent="0.2">
      <c r="A78" s="62"/>
      <c r="Q78" s="62"/>
    </row>
    <row r="79" spans="1:17" x14ac:dyDescent="0.2">
      <c r="A79" s="62"/>
      <c r="Q79" s="62"/>
    </row>
    <row r="80" spans="1:17" x14ac:dyDescent="0.2">
      <c r="A80" s="62"/>
      <c r="C80" s="58" t="s">
        <v>79</v>
      </c>
      <c r="D80" s="58"/>
      <c r="E80" s="58"/>
      <c r="F80" s="58"/>
      <c r="G80" s="58"/>
      <c r="H80" s="58"/>
      <c r="I80" s="58"/>
      <c r="J80" s="58"/>
      <c r="K80" s="58"/>
      <c r="L80" s="58"/>
      <c r="M80" s="58"/>
      <c r="N80" s="58"/>
      <c r="O80" s="58"/>
      <c r="P80" s="58"/>
      <c r="Q80" s="62"/>
    </row>
    <row r="81" spans="1:17" x14ac:dyDescent="0.2">
      <c r="A81" s="62"/>
      <c r="B81" s="2"/>
      <c r="C81" s="58"/>
      <c r="D81" s="58"/>
      <c r="E81" s="58"/>
      <c r="F81" s="58"/>
      <c r="G81" s="58"/>
      <c r="H81" s="58"/>
      <c r="I81" s="58"/>
      <c r="J81" s="58"/>
      <c r="K81" s="58"/>
      <c r="L81" s="58"/>
      <c r="M81" s="58"/>
      <c r="N81" s="58"/>
      <c r="O81" s="58"/>
      <c r="P81" s="58"/>
      <c r="Q81" s="62"/>
    </row>
    <row r="82" spans="1:17" ht="18" x14ac:dyDescent="0.2">
      <c r="A82" s="62"/>
      <c r="B82" s="13"/>
      <c r="C82" s="57" t="s">
        <v>80</v>
      </c>
      <c r="D82" s="57"/>
      <c r="E82" s="57"/>
      <c r="F82" s="57"/>
      <c r="G82" s="57"/>
      <c r="H82" s="14"/>
      <c r="I82" s="2"/>
      <c r="J82" s="54" t="s">
        <v>81</v>
      </c>
      <c r="K82" s="54"/>
      <c r="L82" s="54"/>
      <c r="M82" s="54"/>
      <c r="N82" s="54"/>
      <c r="O82" s="54"/>
      <c r="P82" s="2"/>
      <c r="Q82" s="62"/>
    </row>
    <row r="83" spans="1:17" ht="18" x14ac:dyDescent="0.2">
      <c r="A83" s="62"/>
      <c r="B83" s="13"/>
      <c r="C83" s="57"/>
      <c r="D83" s="57"/>
      <c r="E83" s="57"/>
      <c r="F83" s="57"/>
      <c r="G83" s="57"/>
      <c r="H83" s="14"/>
      <c r="I83" s="15"/>
      <c r="J83" s="54"/>
      <c r="K83" s="54"/>
      <c r="L83" s="54"/>
      <c r="M83" s="54"/>
      <c r="N83" s="54"/>
      <c r="O83" s="54"/>
      <c r="P83" s="2"/>
      <c r="Q83" s="62"/>
    </row>
    <row r="84" spans="1:17" x14ac:dyDescent="0.2">
      <c r="A84" s="62"/>
      <c r="B84" s="13"/>
      <c r="C84" s="57"/>
      <c r="D84" s="57"/>
      <c r="E84" s="57"/>
      <c r="F84" s="57"/>
      <c r="G84" s="57"/>
      <c r="H84" s="2"/>
      <c r="I84" s="2"/>
      <c r="J84" s="54"/>
      <c r="K84" s="54"/>
      <c r="L84" s="54"/>
      <c r="M84" s="54"/>
      <c r="N84" s="54"/>
      <c r="O84" s="54"/>
      <c r="P84" s="2"/>
      <c r="Q84" s="62"/>
    </row>
    <row r="85" spans="1:17" ht="18" x14ac:dyDescent="0.2">
      <c r="A85" s="62"/>
      <c r="B85" s="13"/>
      <c r="C85" s="16"/>
      <c r="D85" s="16"/>
      <c r="E85" s="16"/>
      <c r="F85" s="16"/>
      <c r="G85" s="16"/>
      <c r="H85" s="14"/>
      <c r="I85" s="15"/>
      <c r="J85" s="15"/>
      <c r="K85" s="15"/>
      <c r="L85" s="15"/>
      <c r="M85" s="15"/>
      <c r="N85" s="15"/>
      <c r="O85" s="15"/>
      <c r="P85" s="2"/>
      <c r="Q85" s="62"/>
    </row>
    <row r="86" spans="1:17" ht="18" x14ac:dyDescent="0.2">
      <c r="A86" s="62"/>
      <c r="B86" s="13"/>
      <c r="C86" s="57" t="s">
        <v>82</v>
      </c>
      <c r="D86" s="57"/>
      <c r="E86" s="57"/>
      <c r="F86" s="57"/>
      <c r="G86" s="57"/>
      <c r="H86" s="14"/>
      <c r="I86" s="2"/>
      <c r="J86" s="54" t="s">
        <v>83</v>
      </c>
      <c r="K86" s="54"/>
      <c r="L86" s="54"/>
      <c r="M86" s="54"/>
      <c r="N86" s="54"/>
      <c r="O86" s="54"/>
      <c r="P86" s="2"/>
      <c r="Q86" s="62"/>
    </row>
    <row r="87" spans="1:17" ht="15" x14ac:dyDescent="0.2">
      <c r="A87" s="62"/>
      <c r="B87" s="17"/>
      <c r="C87" s="57"/>
      <c r="D87" s="57"/>
      <c r="E87" s="57"/>
      <c r="F87" s="57"/>
      <c r="G87" s="57"/>
      <c r="H87" s="5"/>
      <c r="I87" s="5"/>
      <c r="J87" s="54"/>
      <c r="K87" s="54"/>
      <c r="L87" s="54"/>
      <c r="M87" s="54"/>
      <c r="N87" s="54"/>
      <c r="O87" s="54"/>
      <c r="Q87" s="62"/>
    </row>
    <row r="88" spans="1:17" x14ac:dyDescent="0.2">
      <c r="A88" s="62"/>
      <c r="B88" s="17"/>
      <c r="C88" s="57"/>
      <c r="D88" s="57"/>
      <c r="E88" s="57"/>
      <c r="F88" s="57"/>
      <c r="G88" s="57"/>
      <c r="J88" s="54"/>
      <c r="K88" s="54"/>
      <c r="L88" s="54"/>
      <c r="M88" s="54"/>
      <c r="N88" s="54"/>
      <c r="O88" s="54"/>
      <c r="Q88" s="62"/>
    </row>
    <row r="89" spans="1:17" ht="15.75" x14ac:dyDescent="0.25">
      <c r="A89" s="62"/>
      <c r="B89" s="18"/>
      <c r="C89" s="57"/>
      <c r="D89" s="57"/>
      <c r="E89" s="57"/>
      <c r="F89" s="57"/>
      <c r="G89" s="57"/>
      <c r="J89" s="54"/>
      <c r="K89" s="54"/>
      <c r="L89" s="54"/>
      <c r="M89" s="54"/>
      <c r="N89" s="54"/>
      <c r="O89" s="54"/>
      <c r="P89" s="5"/>
      <c r="Q89" s="62"/>
    </row>
    <row r="90" spans="1:17" ht="18" x14ac:dyDescent="0.2">
      <c r="A90" s="62"/>
      <c r="B90" s="17"/>
      <c r="C90" s="57" t="s">
        <v>84</v>
      </c>
      <c r="D90" s="57"/>
      <c r="E90" s="57"/>
      <c r="F90" s="57"/>
      <c r="G90" s="57"/>
      <c r="H90" s="14"/>
      <c r="I90" s="2"/>
      <c r="J90" s="54" t="s">
        <v>85</v>
      </c>
      <c r="K90" s="54"/>
      <c r="L90" s="54"/>
      <c r="M90" s="54"/>
      <c r="N90" s="54"/>
      <c r="O90" s="54"/>
      <c r="Q90" s="62"/>
    </row>
    <row r="91" spans="1:17" ht="15" x14ac:dyDescent="0.2">
      <c r="A91" s="62"/>
      <c r="B91" s="17"/>
      <c r="C91" s="57"/>
      <c r="D91" s="57"/>
      <c r="E91" s="57"/>
      <c r="F91" s="57"/>
      <c r="G91" s="57"/>
      <c r="H91" s="5"/>
      <c r="I91" s="5"/>
      <c r="J91" s="54"/>
      <c r="K91" s="54"/>
      <c r="L91" s="54"/>
      <c r="M91" s="54"/>
      <c r="N91" s="54"/>
      <c r="O91" s="54"/>
      <c r="Q91" s="62"/>
    </row>
    <row r="92" spans="1:17" x14ac:dyDescent="0.2">
      <c r="A92" s="62"/>
      <c r="B92" s="17"/>
      <c r="C92" s="57"/>
      <c r="D92" s="57"/>
      <c r="E92" s="57"/>
      <c r="F92" s="57"/>
      <c r="G92" s="57"/>
      <c r="J92" s="54"/>
      <c r="K92" s="54"/>
      <c r="L92" s="54"/>
      <c r="M92" s="54"/>
      <c r="N92" s="54"/>
      <c r="O92" s="54"/>
      <c r="Q92" s="62"/>
    </row>
    <row r="93" spans="1:17" ht="18" x14ac:dyDescent="0.2">
      <c r="A93" s="62"/>
      <c r="B93" s="17"/>
      <c r="C93" s="57" t="s">
        <v>86</v>
      </c>
      <c r="D93" s="57"/>
      <c r="E93" s="57"/>
      <c r="F93" s="57"/>
      <c r="G93" s="57"/>
      <c r="H93" s="14"/>
      <c r="J93" s="54" t="s">
        <v>87</v>
      </c>
      <c r="K93" s="54"/>
      <c r="L93" s="54"/>
      <c r="M93" s="54"/>
      <c r="N93" s="54"/>
      <c r="O93" s="54"/>
      <c r="Q93" s="62"/>
    </row>
    <row r="94" spans="1:17" ht="18" x14ac:dyDescent="0.2">
      <c r="A94" s="62"/>
      <c r="B94" s="13"/>
      <c r="C94" s="57"/>
      <c r="D94" s="57"/>
      <c r="E94" s="57"/>
      <c r="F94" s="57"/>
      <c r="G94" s="57"/>
      <c r="H94" s="14"/>
      <c r="I94" s="15"/>
      <c r="J94" s="54"/>
      <c r="K94" s="54"/>
      <c r="L94" s="54"/>
      <c r="M94" s="54"/>
      <c r="N94" s="54"/>
      <c r="O94" s="54"/>
      <c r="P94" s="2"/>
      <c r="Q94" s="62"/>
    </row>
    <row r="95" spans="1:17" x14ac:dyDescent="0.2">
      <c r="A95" s="62"/>
      <c r="B95" s="17"/>
      <c r="C95" s="57"/>
      <c r="D95" s="57"/>
      <c r="E95" s="57"/>
      <c r="F95" s="57"/>
      <c r="G95" s="57"/>
      <c r="J95" s="54"/>
      <c r="K95" s="54"/>
      <c r="L95" s="54"/>
      <c r="M95" s="54"/>
      <c r="N95" s="54"/>
      <c r="O95" s="54"/>
      <c r="Q95" s="62"/>
    </row>
    <row r="96" spans="1:17" ht="18" x14ac:dyDescent="0.2">
      <c r="A96" s="62"/>
      <c r="B96" s="17"/>
      <c r="C96" s="57"/>
      <c r="D96" s="57"/>
      <c r="E96" s="57"/>
      <c r="F96" s="57"/>
      <c r="G96" s="57"/>
      <c r="H96" s="14"/>
      <c r="I96" s="15"/>
      <c r="J96" s="54"/>
      <c r="K96" s="54"/>
      <c r="L96" s="54"/>
      <c r="M96" s="54"/>
      <c r="N96" s="54"/>
      <c r="O96" s="54"/>
      <c r="Q96" s="62"/>
    </row>
    <row r="97" spans="1:17" ht="18" x14ac:dyDescent="0.2">
      <c r="A97" s="62"/>
      <c r="B97" s="17"/>
      <c r="C97" s="57" t="s">
        <v>88</v>
      </c>
      <c r="D97" s="57"/>
      <c r="E97" s="57"/>
      <c r="F97" s="57"/>
      <c r="G97" s="57"/>
      <c r="H97" s="14"/>
      <c r="I97" s="5"/>
      <c r="J97" s="54" t="s">
        <v>89</v>
      </c>
      <c r="K97" s="54"/>
      <c r="L97" s="54"/>
      <c r="M97" s="54"/>
      <c r="N97" s="54"/>
      <c r="O97" s="54"/>
      <c r="Q97" s="62"/>
    </row>
    <row r="98" spans="1:17" ht="18" x14ac:dyDescent="0.2">
      <c r="A98" s="62"/>
      <c r="B98" s="17"/>
      <c r="C98" s="57"/>
      <c r="D98" s="57"/>
      <c r="E98" s="57"/>
      <c r="F98" s="57"/>
      <c r="G98" s="57"/>
      <c r="H98" s="14"/>
      <c r="I98" s="15"/>
      <c r="J98" s="54"/>
      <c r="K98" s="54"/>
      <c r="L98" s="54"/>
      <c r="M98" s="54"/>
      <c r="N98" s="54"/>
      <c r="O98" s="54"/>
      <c r="Q98" s="62"/>
    </row>
    <row r="99" spans="1:17" ht="18" x14ac:dyDescent="0.2">
      <c r="A99" s="62"/>
      <c r="B99" s="17"/>
      <c r="C99" s="57"/>
      <c r="D99" s="57"/>
      <c r="E99" s="57"/>
      <c r="F99" s="57"/>
      <c r="G99" s="57"/>
      <c r="H99" s="14"/>
      <c r="I99" s="15"/>
      <c r="J99" s="54"/>
      <c r="K99" s="54"/>
      <c r="L99" s="54"/>
      <c r="M99" s="54"/>
      <c r="N99" s="54"/>
      <c r="O99" s="54"/>
      <c r="Q99" s="62"/>
    </row>
    <row r="100" spans="1:17" ht="18" x14ac:dyDescent="0.2">
      <c r="A100" s="62"/>
      <c r="B100" s="17"/>
      <c r="C100" s="57"/>
      <c r="D100" s="57"/>
      <c r="E100" s="57"/>
      <c r="F100" s="57"/>
      <c r="G100" s="57"/>
      <c r="H100" s="14"/>
      <c r="I100" s="15"/>
      <c r="J100" s="54"/>
      <c r="K100" s="54"/>
      <c r="L100" s="54"/>
      <c r="M100" s="54"/>
      <c r="N100" s="54"/>
      <c r="O100" s="54"/>
      <c r="Q100" s="62"/>
    </row>
    <row r="101" spans="1:17" ht="18" x14ac:dyDescent="0.2">
      <c r="A101" s="62"/>
      <c r="B101" s="17"/>
      <c r="C101" s="57" t="s">
        <v>90</v>
      </c>
      <c r="D101" s="57"/>
      <c r="E101" s="57"/>
      <c r="F101" s="57"/>
      <c r="G101" s="57"/>
      <c r="H101" s="14"/>
      <c r="I101" s="2"/>
      <c r="J101" s="54" t="s">
        <v>91</v>
      </c>
      <c r="K101" s="54"/>
      <c r="L101" s="54"/>
      <c r="M101" s="54"/>
      <c r="N101" s="54"/>
      <c r="O101" s="54"/>
      <c r="Q101" s="62"/>
    </row>
    <row r="102" spans="1:17" ht="18" x14ac:dyDescent="0.2">
      <c r="A102" s="62"/>
      <c r="B102" s="17"/>
      <c r="C102" s="57"/>
      <c r="D102" s="57"/>
      <c r="E102" s="57"/>
      <c r="F102" s="57"/>
      <c r="G102" s="57"/>
      <c r="H102" s="14"/>
      <c r="I102" s="15"/>
      <c r="J102" s="54"/>
      <c r="K102" s="54"/>
      <c r="L102" s="54"/>
      <c r="M102" s="54"/>
      <c r="N102" s="54"/>
      <c r="O102" s="54"/>
      <c r="Q102" s="62"/>
    </row>
    <row r="103" spans="1:17" ht="18" x14ac:dyDescent="0.2">
      <c r="A103" s="62"/>
      <c r="B103" s="17"/>
      <c r="C103" s="57"/>
      <c r="D103" s="57"/>
      <c r="E103" s="57"/>
      <c r="F103" s="57"/>
      <c r="G103" s="57"/>
      <c r="H103" s="14"/>
      <c r="I103" s="15"/>
      <c r="J103" s="54"/>
      <c r="K103" s="54"/>
      <c r="L103" s="54"/>
      <c r="M103" s="54"/>
      <c r="N103" s="54"/>
      <c r="O103" s="54"/>
      <c r="Q103" s="62"/>
    </row>
    <row r="104" spans="1:17" x14ac:dyDescent="0.2">
      <c r="A104" s="62"/>
      <c r="B104" s="17"/>
      <c r="C104" s="57"/>
      <c r="D104" s="57"/>
      <c r="E104" s="57"/>
      <c r="F104" s="57"/>
      <c r="G104" s="57"/>
      <c r="J104" s="54"/>
      <c r="K104" s="54"/>
      <c r="L104" s="54"/>
      <c r="M104" s="54"/>
      <c r="N104" s="54"/>
      <c r="O104" s="54"/>
      <c r="Q104" s="62"/>
    </row>
    <row r="105" spans="1:17" ht="18" x14ac:dyDescent="0.2">
      <c r="A105" s="62"/>
      <c r="B105" s="17"/>
      <c r="C105" s="57"/>
      <c r="D105" s="57"/>
      <c r="E105" s="57"/>
      <c r="F105" s="57"/>
      <c r="G105" s="57"/>
      <c r="H105" s="14"/>
      <c r="I105" s="15"/>
      <c r="J105" s="54"/>
      <c r="K105" s="54"/>
      <c r="L105" s="54"/>
      <c r="M105" s="54"/>
      <c r="N105" s="54"/>
      <c r="O105" s="54"/>
      <c r="Q105" s="62"/>
    </row>
    <row r="106" spans="1:17" ht="18" x14ac:dyDescent="0.2">
      <c r="A106" s="62"/>
      <c r="B106" s="17"/>
      <c r="C106" s="57" t="s">
        <v>92</v>
      </c>
      <c r="D106" s="57"/>
      <c r="E106" s="57"/>
      <c r="F106" s="57"/>
      <c r="G106" s="57"/>
      <c r="H106" s="14"/>
      <c r="J106" s="54" t="s">
        <v>93</v>
      </c>
      <c r="K106" s="54"/>
      <c r="L106" s="54"/>
      <c r="M106" s="54"/>
      <c r="N106" s="54"/>
      <c r="O106" s="54"/>
      <c r="Q106" s="62"/>
    </row>
    <row r="107" spans="1:17" ht="18" x14ac:dyDescent="0.2">
      <c r="A107" s="62"/>
      <c r="B107" s="17"/>
      <c r="C107" s="57"/>
      <c r="D107" s="57"/>
      <c r="E107" s="57"/>
      <c r="F107" s="57"/>
      <c r="G107" s="57"/>
      <c r="H107" s="14"/>
      <c r="I107" s="19"/>
      <c r="J107" s="54"/>
      <c r="K107" s="54"/>
      <c r="L107" s="54"/>
      <c r="M107" s="54"/>
      <c r="N107" s="54"/>
      <c r="O107" s="54"/>
      <c r="Q107" s="62"/>
    </row>
    <row r="108" spans="1:17" x14ac:dyDescent="0.2">
      <c r="A108" s="62"/>
      <c r="B108" s="17"/>
      <c r="C108" s="57"/>
      <c r="D108" s="57"/>
      <c r="E108" s="57"/>
      <c r="F108" s="57"/>
      <c r="G108" s="57"/>
      <c r="J108" s="54"/>
      <c r="K108" s="54"/>
      <c r="L108" s="54"/>
      <c r="M108" s="54"/>
      <c r="N108" s="54"/>
      <c r="O108" s="54"/>
      <c r="Q108" s="62"/>
    </row>
    <row r="109" spans="1:17" ht="18" x14ac:dyDescent="0.2">
      <c r="A109" s="62"/>
      <c r="B109" s="17"/>
      <c r="C109" s="57"/>
      <c r="D109" s="57"/>
      <c r="E109" s="57"/>
      <c r="F109" s="57"/>
      <c r="G109" s="57"/>
      <c r="H109" s="14"/>
      <c r="I109" s="19"/>
      <c r="J109" s="54"/>
      <c r="K109" s="54"/>
      <c r="L109" s="54"/>
      <c r="M109" s="54"/>
      <c r="N109" s="54"/>
      <c r="O109" s="54"/>
      <c r="Q109" s="62"/>
    </row>
    <row r="110" spans="1:17" x14ac:dyDescent="0.2">
      <c r="A110" s="62"/>
      <c r="B110" s="17"/>
      <c r="C110" s="20"/>
      <c r="D110" s="21"/>
      <c r="E110" s="21"/>
      <c r="F110" s="21"/>
      <c r="G110" s="21"/>
      <c r="J110" s="22"/>
      <c r="K110" s="15"/>
      <c r="L110" s="15"/>
      <c r="M110" s="15"/>
      <c r="N110" s="15"/>
      <c r="O110" s="15"/>
      <c r="Q110" s="62"/>
    </row>
    <row r="111" spans="1:17" ht="18" x14ac:dyDescent="0.2">
      <c r="A111" s="62"/>
      <c r="B111" s="17"/>
      <c r="C111" s="53" t="s">
        <v>94</v>
      </c>
      <c r="D111" s="53"/>
      <c r="E111" s="53"/>
      <c r="F111" s="53"/>
      <c r="G111" s="53"/>
      <c r="H111" s="14"/>
      <c r="J111" s="54" t="s">
        <v>95</v>
      </c>
      <c r="K111" s="54"/>
      <c r="L111" s="54"/>
      <c r="M111" s="54"/>
      <c r="N111" s="54"/>
      <c r="O111" s="54"/>
      <c r="P111" s="23"/>
      <c r="Q111" s="62"/>
    </row>
    <row r="112" spans="1:17" x14ac:dyDescent="0.2">
      <c r="A112" s="62"/>
      <c r="B112" s="17"/>
      <c r="C112" s="53"/>
      <c r="D112" s="53"/>
      <c r="E112" s="53"/>
      <c r="F112" s="53"/>
      <c r="G112" s="53"/>
      <c r="J112" s="54"/>
      <c r="K112" s="54"/>
      <c r="L112" s="54"/>
      <c r="M112" s="54"/>
      <c r="N112" s="54"/>
      <c r="O112" s="54"/>
      <c r="Q112" s="62"/>
    </row>
    <row r="113" spans="1:17" x14ac:dyDescent="0.2">
      <c r="A113" s="62"/>
      <c r="B113" s="17"/>
      <c r="C113" s="53"/>
      <c r="D113" s="53"/>
      <c r="E113" s="53"/>
      <c r="F113" s="53"/>
      <c r="G113" s="53"/>
      <c r="H113" s="19"/>
      <c r="I113" s="19"/>
      <c r="J113" s="54"/>
      <c r="K113" s="54"/>
      <c r="L113" s="54"/>
      <c r="M113" s="54"/>
      <c r="N113" s="54"/>
      <c r="O113" s="54"/>
      <c r="Q113" s="62"/>
    </row>
    <row r="114" spans="1:17" x14ac:dyDescent="0.2">
      <c r="A114" s="62"/>
      <c r="B114" s="17"/>
      <c r="C114" s="24"/>
      <c r="D114" s="24"/>
      <c r="E114" s="24"/>
      <c r="F114" s="24"/>
      <c r="G114" s="24"/>
      <c r="H114" s="19"/>
      <c r="I114" s="19"/>
      <c r="J114" s="15"/>
      <c r="K114" s="15"/>
      <c r="L114" s="15"/>
      <c r="M114" s="15"/>
      <c r="N114" s="15"/>
      <c r="O114" s="15"/>
      <c r="Q114" s="62"/>
    </row>
    <row r="115" spans="1:17" x14ac:dyDescent="0.2">
      <c r="A115" s="62"/>
      <c r="B115" s="17"/>
      <c r="C115" s="53" t="s">
        <v>96</v>
      </c>
      <c r="D115" s="53"/>
      <c r="E115" s="53"/>
      <c r="F115" s="53"/>
      <c r="G115" s="53"/>
      <c r="H115" s="19"/>
      <c r="I115" s="19"/>
      <c r="J115" s="54" t="s">
        <v>97</v>
      </c>
      <c r="K115" s="54"/>
      <c r="L115" s="54"/>
      <c r="M115" s="54"/>
      <c r="N115" s="54"/>
      <c r="O115" s="54"/>
      <c r="Q115" s="62"/>
    </row>
    <row r="116" spans="1:17" x14ac:dyDescent="0.2">
      <c r="A116" s="62"/>
      <c r="B116" s="17"/>
      <c r="C116" s="53"/>
      <c r="D116" s="53"/>
      <c r="E116" s="53"/>
      <c r="F116" s="53"/>
      <c r="G116" s="53"/>
      <c r="H116" s="19"/>
      <c r="I116" s="19"/>
      <c r="J116" s="54"/>
      <c r="K116" s="54"/>
      <c r="L116" s="54"/>
      <c r="M116" s="54"/>
      <c r="N116" s="54"/>
      <c r="O116" s="54"/>
      <c r="Q116" s="62"/>
    </row>
    <row r="117" spans="1:17" x14ac:dyDescent="0.2">
      <c r="A117" s="62"/>
      <c r="B117" s="17"/>
      <c r="C117" s="53"/>
      <c r="D117" s="53"/>
      <c r="E117" s="53"/>
      <c r="F117" s="53"/>
      <c r="G117" s="53"/>
      <c r="H117" s="19"/>
      <c r="I117" s="19"/>
      <c r="J117" s="54"/>
      <c r="K117" s="54"/>
      <c r="L117" s="54"/>
      <c r="M117" s="54"/>
      <c r="N117" s="54"/>
      <c r="O117" s="54"/>
      <c r="Q117" s="62"/>
    </row>
    <row r="118" spans="1:17" ht="18" x14ac:dyDescent="0.2">
      <c r="A118" s="62"/>
      <c r="B118" s="17"/>
      <c r="C118" s="53"/>
      <c r="D118" s="53"/>
      <c r="E118" s="53"/>
      <c r="F118" s="53"/>
      <c r="G118" s="53"/>
      <c r="H118" s="14"/>
      <c r="J118" s="54"/>
      <c r="K118" s="54"/>
      <c r="L118" s="54"/>
      <c r="M118" s="54"/>
      <c r="N118" s="54"/>
      <c r="O118" s="54"/>
      <c r="Q118" s="62"/>
    </row>
    <row r="119" spans="1:17" x14ac:dyDescent="0.2">
      <c r="A119" s="62"/>
      <c r="C119" s="55" t="s">
        <v>98</v>
      </c>
      <c r="D119" s="55"/>
      <c r="E119" s="55"/>
      <c r="F119" s="55"/>
      <c r="G119" s="55"/>
      <c r="H119" s="55"/>
      <c r="I119" s="55"/>
      <c r="J119" s="55"/>
      <c r="K119" s="55"/>
      <c r="L119" s="55"/>
      <c r="M119" s="55"/>
      <c r="N119" s="55"/>
      <c r="O119" s="55"/>
      <c r="P119" s="55"/>
      <c r="Q119" s="62"/>
    </row>
    <row r="120" spans="1:17" x14ac:dyDescent="0.2">
      <c r="A120" s="62"/>
      <c r="C120" s="55"/>
      <c r="D120" s="55"/>
      <c r="E120" s="55"/>
      <c r="F120" s="55"/>
      <c r="G120" s="55"/>
      <c r="H120" s="55"/>
      <c r="I120" s="55"/>
      <c r="J120" s="55"/>
      <c r="K120" s="55"/>
      <c r="L120" s="55"/>
      <c r="M120" s="55"/>
      <c r="N120" s="55"/>
      <c r="O120" s="55"/>
      <c r="P120" s="55"/>
      <c r="Q120" s="62"/>
    </row>
    <row r="121" spans="1:17" x14ac:dyDescent="0.2">
      <c r="A121" s="62"/>
      <c r="C121" s="55"/>
      <c r="D121" s="55"/>
      <c r="E121" s="55"/>
      <c r="F121" s="55"/>
      <c r="G121" s="55"/>
      <c r="H121" s="55"/>
      <c r="I121" s="55"/>
      <c r="J121" s="55"/>
      <c r="K121" s="55"/>
      <c r="L121" s="55"/>
      <c r="M121" s="55"/>
      <c r="N121" s="55"/>
      <c r="O121" s="55"/>
      <c r="P121" s="55"/>
      <c r="Q121" s="62"/>
    </row>
    <row r="122" spans="1:17" x14ac:dyDescent="0.2">
      <c r="A122" s="62"/>
      <c r="Q122" s="62"/>
    </row>
    <row r="123" spans="1:17" x14ac:dyDescent="0.2">
      <c r="A123" s="62"/>
      <c r="Q123" s="62"/>
    </row>
    <row r="124" spans="1:17" ht="15" x14ac:dyDescent="0.25">
      <c r="A124" s="62"/>
      <c r="D124" s="56" t="s">
        <v>99</v>
      </c>
      <c r="E124" s="56"/>
      <c r="F124" s="56"/>
      <c r="G124" s="56"/>
      <c r="K124" s="56" t="s">
        <v>100</v>
      </c>
      <c r="L124" s="56"/>
      <c r="M124" s="56"/>
      <c r="N124" s="56"/>
      <c r="Q124" s="62"/>
    </row>
    <row r="125" spans="1:17" ht="15" x14ac:dyDescent="0.25">
      <c r="A125" s="62"/>
      <c r="D125" s="56" t="s">
        <v>101</v>
      </c>
      <c r="E125" s="56"/>
      <c r="F125" s="56"/>
      <c r="G125" s="56"/>
      <c r="K125" s="56" t="s">
        <v>102</v>
      </c>
      <c r="L125" s="56"/>
      <c r="M125" s="56"/>
      <c r="N125" s="56"/>
      <c r="Q125" s="62"/>
    </row>
    <row r="126" spans="1:17" x14ac:dyDescent="0.2">
      <c r="A126" s="62"/>
      <c r="D126" s="29"/>
      <c r="E126" s="29"/>
      <c r="F126" s="29"/>
      <c r="G126" s="29"/>
      <c r="K126" s="29"/>
      <c r="L126" s="29"/>
      <c r="M126" s="29"/>
      <c r="N126" s="29"/>
      <c r="Q126" s="62"/>
    </row>
    <row r="127" spans="1:17" x14ac:dyDescent="0.2">
      <c r="A127" s="62"/>
      <c r="D127" s="6" t="s">
        <v>103</v>
      </c>
      <c r="E127" s="6"/>
      <c r="F127" s="6"/>
      <c r="G127" s="6"/>
      <c r="K127" s="6" t="s">
        <v>104</v>
      </c>
      <c r="L127" s="6"/>
      <c r="M127" s="6"/>
      <c r="N127" s="6"/>
      <c r="Q127" s="62"/>
    </row>
    <row r="128" spans="1:17" x14ac:dyDescent="0.2">
      <c r="A128" s="62"/>
      <c r="D128" s="6" t="s">
        <v>105</v>
      </c>
      <c r="E128" s="6"/>
      <c r="F128" s="6"/>
      <c r="G128" s="6"/>
      <c r="K128" s="6" t="s">
        <v>106</v>
      </c>
      <c r="L128" s="6"/>
      <c r="M128" s="6"/>
      <c r="N128" s="6"/>
      <c r="Q128" s="62"/>
    </row>
    <row r="129" spans="1:17" x14ac:dyDescent="0.2">
      <c r="A129" s="62"/>
      <c r="D129" s="6" t="s">
        <v>107</v>
      </c>
      <c r="E129" s="6"/>
      <c r="F129" s="6"/>
      <c r="G129" s="6"/>
      <c r="K129" s="25" t="s">
        <v>108</v>
      </c>
      <c r="L129" s="6"/>
      <c r="M129" s="6"/>
      <c r="N129" s="6"/>
      <c r="Q129" s="62"/>
    </row>
    <row r="130" spans="1:17" x14ac:dyDescent="0.2">
      <c r="A130" s="62"/>
      <c r="Q130" s="62"/>
    </row>
    <row r="131" spans="1:17" x14ac:dyDescent="0.2">
      <c r="A131" s="62"/>
      <c r="Q131" s="62"/>
    </row>
    <row r="132" spans="1:17" x14ac:dyDescent="0.2">
      <c r="A132" s="62"/>
      <c r="C132" s="58" t="s">
        <v>109</v>
      </c>
      <c r="D132" s="58"/>
      <c r="E132" s="58"/>
      <c r="F132" s="58"/>
      <c r="G132" s="58"/>
      <c r="H132" s="58"/>
      <c r="I132" s="58"/>
      <c r="J132" s="58"/>
      <c r="K132" s="58"/>
      <c r="Q132" s="62"/>
    </row>
    <row r="133" spans="1:17" x14ac:dyDescent="0.2">
      <c r="A133" s="62"/>
      <c r="C133" s="58"/>
      <c r="D133" s="58"/>
      <c r="E133" s="58"/>
      <c r="F133" s="58"/>
      <c r="G133" s="58"/>
      <c r="H133" s="58"/>
      <c r="I133" s="58"/>
      <c r="J133" s="58"/>
      <c r="K133" s="58"/>
      <c r="Q133" s="62"/>
    </row>
    <row r="134" spans="1:17" x14ac:dyDescent="0.2">
      <c r="A134" s="62"/>
      <c r="B134" s="12"/>
      <c r="C134" s="50" t="s">
        <v>110</v>
      </c>
      <c r="D134" s="50"/>
      <c r="E134" s="50"/>
      <c r="F134" s="50"/>
      <c r="G134" s="50"/>
      <c r="H134" s="50"/>
      <c r="I134" s="50"/>
      <c r="J134" s="50"/>
      <c r="K134" s="50"/>
      <c r="L134" s="50"/>
      <c r="M134" s="50"/>
      <c r="N134" s="50"/>
      <c r="O134" s="50"/>
      <c r="P134" s="12"/>
      <c r="Q134" s="62"/>
    </row>
    <row r="135" spans="1:17" x14ac:dyDescent="0.2">
      <c r="A135" s="62"/>
      <c r="B135" s="6"/>
      <c r="C135" s="50"/>
      <c r="D135" s="50"/>
      <c r="E135" s="50"/>
      <c r="F135" s="50"/>
      <c r="G135" s="50"/>
      <c r="H135" s="50"/>
      <c r="I135" s="50"/>
      <c r="J135" s="50"/>
      <c r="K135" s="50"/>
      <c r="L135" s="50"/>
      <c r="M135" s="50"/>
      <c r="N135" s="50"/>
      <c r="O135" s="50"/>
      <c r="P135" s="6"/>
      <c r="Q135" s="62"/>
    </row>
    <row r="136" spans="1:17" ht="90" customHeight="1" x14ac:dyDescent="0.2">
      <c r="A136" s="62"/>
      <c r="C136" s="50"/>
      <c r="D136" s="50"/>
      <c r="E136" s="50"/>
      <c r="F136" s="50"/>
      <c r="G136" s="50"/>
      <c r="H136" s="50"/>
      <c r="I136" s="50"/>
      <c r="J136" s="50"/>
      <c r="K136" s="50"/>
      <c r="L136" s="50"/>
      <c r="M136" s="50"/>
      <c r="N136" s="50"/>
      <c r="O136" s="50"/>
      <c r="P136" s="26"/>
      <c r="Q136" s="62"/>
    </row>
    <row r="137" spans="1:17" ht="7.5" customHeight="1" x14ac:dyDescent="0.2">
      <c r="A137" s="62"/>
      <c r="C137" s="6"/>
      <c r="D137" s="6"/>
      <c r="E137" s="6"/>
      <c r="F137" s="6"/>
      <c r="G137" s="6"/>
      <c r="H137" s="6"/>
      <c r="I137" s="6"/>
      <c r="J137" s="6"/>
      <c r="K137" s="6"/>
      <c r="L137" s="6"/>
      <c r="M137" s="6"/>
      <c r="N137" s="51" t="s">
        <v>111</v>
      </c>
      <c r="O137" s="51"/>
      <c r="P137" s="51"/>
      <c r="Q137" s="62"/>
    </row>
    <row r="138" spans="1:17" x14ac:dyDescent="0.2">
      <c r="A138" s="62"/>
      <c r="B138" s="52" t="s">
        <v>77</v>
      </c>
      <c r="C138" s="52"/>
      <c r="D138" s="52"/>
      <c r="E138" s="27"/>
      <c r="F138" s="27"/>
      <c r="G138" s="27"/>
      <c r="N138" s="51"/>
      <c r="O138" s="51"/>
      <c r="P138" s="51"/>
      <c r="Q138" s="62"/>
    </row>
    <row r="139" spans="1:17" hidden="1" x14ac:dyDescent="0.2"/>
    <row r="140" spans="1:17" hidden="1" x14ac:dyDescent="0.2"/>
    <row r="141" spans="1:17" hidden="1" x14ac:dyDescent="0.2"/>
    <row r="142" spans="1:17" hidden="1" x14ac:dyDescent="0.2"/>
    <row r="143" spans="1:17" hidden="1" x14ac:dyDescent="0.2"/>
    <row r="144" spans="1:17" hidden="1" x14ac:dyDescent="0.2"/>
    <row r="145" hidden="1" x14ac:dyDescent="0.2"/>
    <row r="146" hidden="1" x14ac:dyDescent="0.2"/>
  </sheetData>
  <sheetProtection algorithmName="SHA-512" hashValue="opBFM/PLAksUgtVmq8b6pjEf5FMtIsyS5uilws4f2tNEskFiVs4BtmvEXjaNuoxxBdMqEJUPI/0KTXri2DV/Eg==" saltValue="VxSlSdo7cxaGkQjFO+0frw==" spinCount="100000" sheet="1" objects="1" scenarios="1"/>
  <customSheetViews>
    <customSheetView guid="{8A0A97B9-6FFA-4611-B3E0-716648B31258}" showPageBreaks="1" showGridLines="0" showRowCol="0" fitToPage="1" printArea="1" hiddenRows="1" hiddenColumns="1" view="pageLayout" showRuler="0">
      <selection activeCell="E10" sqref="E10:N10"/>
      <pageMargins left="0.23622047244094491" right="0.23622047244094491" top="0.23622047244094491" bottom="0.23622047244094491" header="0.31496062992125984" footer="0.31496062992125984"/>
      <pageSetup paperSize="9" scale="80" orientation="portrait" r:id="rId1"/>
    </customSheetView>
  </customSheetViews>
  <mergeCells count="78">
    <mergeCell ref="N68:P69"/>
    <mergeCell ref="B69:D69"/>
    <mergeCell ref="A70:Q72"/>
    <mergeCell ref="A73:A138"/>
    <mergeCell ref="Q73:Q138"/>
    <mergeCell ref="I75:O77"/>
    <mergeCell ref="C80:P81"/>
    <mergeCell ref="C82:G84"/>
    <mergeCell ref="J82:O84"/>
    <mergeCell ref="C86:G89"/>
    <mergeCell ref="J86:O89"/>
    <mergeCell ref="C90:G92"/>
    <mergeCell ref="J90:O92"/>
    <mergeCell ref="C93:G96"/>
    <mergeCell ref="J93:O96"/>
    <mergeCell ref="C97:G100"/>
    <mergeCell ref="D58:F58"/>
    <mergeCell ref="G58:H58"/>
    <mergeCell ref="K58:M58"/>
    <mergeCell ref="N58:O58"/>
    <mergeCell ref="D59:F59"/>
    <mergeCell ref="G59:H59"/>
    <mergeCell ref="K59:M59"/>
    <mergeCell ref="N59:O59"/>
    <mergeCell ref="D56:F56"/>
    <mergeCell ref="G56:H56"/>
    <mergeCell ref="K56:M56"/>
    <mergeCell ref="N56:O56"/>
    <mergeCell ref="D57:F57"/>
    <mergeCell ref="G57:H57"/>
    <mergeCell ref="K57:M57"/>
    <mergeCell ref="N57:O57"/>
    <mergeCell ref="K15:N15"/>
    <mergeCell ref="D22:G22"/>
    <mergeCell ref="D30:G30"/>
    <mergeCell ref="K30:N30"/>
    <mergeCell ref="C44:O45"/>
    <mergeCell ref="A1:A69"/>
    <mergeCell ref="Q1:Q69"/>
    <mergeCell ref="I3:O5"/>
    <mergeCell ref="C8:E8"/>
    <mergeCell ref="F8:O8"/>
    <mergeCell ref="C9:E9"/>
    <mergeCell ref="F9:O9"/>
    <mergeCell ref="C10:E10"/>
    <mergeCell ref="F10:O10"/>
    <mergeCell ref="C11:E11"/>
    <mergeCell ref="F11:G11"/>
    <mergeCell ref="J11:L11"/>
    <mergeCell ref="M11:N11"/>
    <mergeCell ref="C12:E12"/>
    <mergeCell ref="F12:O12"/>
    <mergeCell ref="D15:G15"/>
    <mergeCell ref="C46:O50"/>
    <mergeCell ref="D52:H53"/>
    <mergeCell ref="K52:O53"/>
    <mergeCell ref="D54:F55"/>
    <mergeCell ref="G54:H55"/>
    <mergeCell ref="K54:M55"/>
    <mergeCell ref="N54:O55"/>
    <mergeCell ref="J97:O100"/>
    <mergeCell ref="C101:G105"/>
    <mergeCell ref="J101:O105"/>
    <mergeCell ref="C106:G109"/>
    <mergeCell ref="J106:O109"/>
    <mergeCell ref="C111:G113"/>
    <mergeCell ref="J111:O113"/>
    <mergeCell ref="C115:G118"/>
    <mergeCell ref="J115:O118"/>
    <mergeCell ref="C119:P121"/>
    <mergeCell ref="D124:G124"/>
    <mergeCell ref="K124:N124"/>
    <mergeCell ref="D125:G125"/>
    <mergeCell ref="K125:N125"/>
    <mergeCell ref="C132:K133"/>
    <mergeCell ref="C134:O136"/>
    <mergeCell ref="N137:P138"/>
    <mergeCell ref="B138:D138"/>
  </mergeCells>
  <pageMargins left="0.23622047244094491" right="0.23622047244094491" top="0.23622047244094491" bottom="0.23622047244094491" header="0.31496062992125984" footer="0.31496062992125984"/>
  <pageSetup paperSize="9" scale="8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Tower Leasing Proposal</vt:lpstr>
      <vt:lpstr>'Tower Leasing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Marsh</dc:creator>
  <cp:lastModifiedBy>Andrea Marsh</cp:lastModifiedBy>
  <cp:lastPrinted>2019-04-30T13:05:47Z</cp:lastPrinted>
  <dcterms:created xsi:type="dcterms:W3CDTF">2018-04-18T14:52:11Z</dcterms:created>
  <dcterms:modified xsi:type="dcterms:W3CDTF">2022-12-22T15:25:52Z</dcterms:modified>
</cp:coreProperties>
</file>